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58" i="1" l="1"/>
  <c r="H157" i="1"/>
  <c r="H156" i="1"/>
  <c r="H155" i="1"/>
  <c r="H154" i="1"/>
  <c r="H153" i="1"/>
  <c r="H152" i="1"/>
  <c r="H151" i="1"/>
  <c r="H150" i="1"/>
  <c r="K149" i="1"/>
  <c r="J149" i="1"/>
  <c r="I149" i="1"/>
  <c r="H149" i="1"/>
  <c r="G149" i="1"/>
  <c r="F149" i="1"/>
  <c r="E149" i="1"/>
  <c r="D149" i="1"/>
  <c r="C149" i="1"/>
  <c r="H148" i="1"/>
  <c r="H147" i="1"/>
  <c r="I146" i="1"/>
  <c r="H146" i="1"/>
  <c r="H145" i="1"/>
  <c r="K144" i="1"/>
  <c r="J144" i="1"/>
  <c r="I144" i="1"/>
  <c r="H144" i="1"/>
  <c r="G144" i="1"/>
  <c r="F144" i="1"/>
  <c r="E144" i="1"/>
  <c r="D144" i="1"/>
  <c r="C144" i="1"/>
  <c r="H143" i="1"/>
  <c r="H142" i="1"/>
  <c r="H141" i="1"/>
  <c r="H140" i="1"/>
  <c r="H139" i="1"/>
  <c r="H138" i="1"/>
  <c r="K137" i="1"/>
  <c r="J137" i="1"/>
  <c r="I137" i="1"/>
  <c r="H137" i="1"/>
  <c r="G137" i="1"/>
  <c r="F137" i="1"/>
  <c r="E137" i="1"/>
  <c r="D137" i="1"/>
  <c r="C137" i="1"/>
  <c r="H136" i="1"/>
  <c r="H135" i="1"/>
  <c r="I134" i="1"/>
  <c r="H134" i="1"/>
  <c r="K133" i="1"/>
  <c r="K157" i="1" s="1"/>
  <c r="J133" i="1"/>
  <c r="J157" i="1" s="1"/>
  <c r="I133" i="1"/>
  <c r="I157" i="1" s="1"/>
  <c r="H133" i="1"/>
  <c r="D133" i="1"/>
  <c r="D157" i="1" s="1"/>
  <c r="C133" i="1"/>
  <c r="C157" i="1" s="1"/>
  <c r="H132" i="1"/>
  <c r="I131" i="1"/>
  <c r="H131" i="1"/>
  <c r="H130" i="1"/>
  <c r="H129" i="1"/>
  <c r="H128" i="1"/>
  <c r="H127" i="1"/>
  <c r="H126" i="1"/>
  <c r="H125" i="1"/>
  <c r="H124" i="1"/>
  <c r="J123" i="1"/>
  <c r="I123" i="1"/>
  <c r="H123" i="1"/>
  <c r="D123" i="1"/>
  <c r="C123" i="1"/>
  <c r="I122" i="1"/>
  <c r="H122" i="1"/>
  <c r="I121" i="1"/>
  <c r="H121" i="1"/>
  <c r="I120" i="1"/>
  <c r="H120" i="1"/>
  <c r="K119" i="1"/>
  <c r="J119" i="1"/>
  <c r="I119" i="1"/>
  <c r="H119" i="1"/>
  <c r="K118" i="1"/>
  <c r="J118" i="1"/>
  <c r="I118" i="1"/>
  <c r="H118" i="1"/>
  <c r="D118" i="1"/>
  <c r="D132" i="1" s="1"/>
  <c r="C118" i="1"/>
  <c r="C132" i="1" s="1"/>
  <c r="I117" i="1"/>
  <c r="H117" i="1"/>
  <c r="H116" i="1"/>
  <c r="J115" i="1"/>
  <c r="I115" i="1"/>
  <c r="H115" i="1"/>
  <c r="I114" i="1"/>
  <c r="H114" i="1"/>
  <c r="H113" i="1"/>
  <c r="H112" i="1"/>
  <c r="H111" i="1"/>
  <c r="H110" i="1"/>
  <c r="I109" i="1"/>
  <c r="H109" i="1"/>
  <c r="H108" i="1"/>
  <c r="H107" i="1"/>
  <c r="H106" i="1"/>
  <c r="H105" i="1"/>
  <c r="H104" i="1"/>
  <c r="H103" i="1"/>
  <c r="J102" i="1"/>
  <c r="I102" i="1"/>
  <c r="H102" i="1"/>
  <c r="G102" i="1"/>
  <c r="F102" i="1"/>
  <c r="E102" i="1"/>
  <c r="D102" i="1"/>
  <c r="C102" i="1"/>
  <c r="I101" i="1"/>
  <c r="H101" i="1"/>
  <c r="K100" i="1"/>
  <c r="J100" i="1"/>
  <c r="I100" i="1"/>
  <c r="H100" i="1"/>
  <c r="K99" i="1"/>
  <c r="J99" i="1"/>
  <c r="I99" i="1"/>
  <c r="H99" i="1"/>
  <c r="K98" i="1"/>
  <c r="J98" i="1"/>
  <c r="I98" i="1"/>
  <c r="H98" i="1"/>
  <c r="K97" i="1"/>
  <c r="K132" i="1" s="1"/>
  <c r="K158" i="1" s="1"/>
  <c r="J97" i="1"/>
  <c r="J132" i="1" s="1"/>
  <c r="J158" i="1" s="1"/>
  <c r="I97" i="1"/>
  <c r="I132" i="1" s="1"/>
  <c r="I158" i="1" s="1"/>
  <c r="H97" i="1"/>
  <c r="D97" i="1"/>
  <c r="C97" i="1"/>
  <c r="H95" i="1"/>
  <c r="G95" i="1"/>
  <c r="F95" i="1"/>
  <c r="E95" i="1"/>
  <c r="D95" i="1"/>
  <c r="C95" i="1"/>
  <c r="H94" i="1"/>
  <c r="H91" i="1"/>
  <c r="H90" i="1"/>
  <c r="H89" i="1"/>
  <c r="H88" i="1"/>
  <c r="H87" i="1"/>
  <c r="H86" i="1"/>
  <c r="H85" i="1"/>
  <c r="H84" i="1"/>
  <c r="K83" i="1"/>
  <c r="J83" i="1"/>
  <c r="I83" i="1"/>
  <c r="H83" i="1"/>
  <c r="G83" i="1"/>
  <c r="F83" i="1"/>
  <c r="E83" i="1"/>
  <c r="D83" i="1"/>
  <c r="D90" i="1" s="1"/>
  <c r="C83" i="1"/>
  <c r="C90" i="1" s="1"/>
  <c r="H82" i="1"/>
  <c r="H81" i="1"/>
  <c r="H80" i="1"/>
  <c r="K79" i="1"/>
  <c r="J79" i="1"/>
  <c r="I79" i="1"/>
  <c r="H79" i="1"/>
  <c r="G79" i="1"/>
  <c r="F79" i="1"/>
  <c r="E79" i="1"/>
  <c r="D79" i="1"/>
  <c r="C79" i="1"/>
  <c r="H78" i="1"/>
  <c r="K77" i="1"/>
  <c r="J77" i="1"/>
  <c r="I77" i="1"/>
  <c r="H77" i="1"/>
  <c r="K76" i="1"/>
  <c r="J76" i="1"/>
  <c r="I76" i="1"/>
  <c r="H76" i="1"/>
  <c r="G76" i="1"/>
  <c r="F76" i="1"/>
  <c r="E76" i="1"/>
  <c r="D76" i="1"/>
  <c r="C76" i="1"/>
  <c r="H75" i="1"/>
  <c r="H74" i="1"/>
  <c r="H73" i="1"/>
  <c r="H72" i="1"/>
  <c r="K71" i="1"/>
  <c r="J71" i="1"/>
  <c r="I71" i="1"/>
  <c r="H71" i="1"/>
  <c r="G71" i="1"/>
  <c r="F71" i="1"/>
  <c r="E71" i="1"/>
  <c r="D71" i="1"/>
  <c r="C71" i="1"/>
  <c r="H70" i="1"/>
  <c r="H69" i="1"/>
  <c r="I68" i="1"/>
  <c r="H68" i="1"/>
  <c r="K67" i="1"/>
  <c r="K90" i="1" s="1"/>
  <c r="J67" i="1"/>
  <c r="J90" i="1" s="1"/>
  <c r="I67" i="1"/>
  <c r="I90" i="1" s="1"/>
  <c r="H67" i="1"/>
  <c r="G67" i="1"/>
  <c r="G90" i="1" s="1"/>
  <c r="F67" i="1"/>
  <c r="F90" i="1" s="1"/>
  <c r="E67" i="1"/>
  <c r="E90" i="1" s="1"/>
  <c r="D67" i="1"/>
  <c r="C67" i="1"/>
  <c r="H66" i="1"/>
  <c r="H65" i="1"/>
  <c r="H64" i="1"/>
  <c r="H63" i="1"/>
  <c r="H62" i="1"/>
  <c r="K61" i="1"/>
  <c r="J61" i="1"/>
  <c r="I61" i="1"/>
  <c r="H61" i="1"/>
  <c r="G61" i="1"/>
  <c r="F61" i="1"/>
  <c r="E61" i="1"/>
  <c r="D61" i="1"/>
  <c r="C61" i="1"/>
  <c r="H60" i="1"/>
  <c r="I59" i="1"/>
  <c r="H59" i="1"/>
  <c r="E59" i="1"/>
  <c r="I58" i="1"/>
  <c r="H58" i="1"/>
  <c r="E58" i="1"/>
  <c r="H57" i="1"/>
  <c r="K56" i="1"/>
  <c r="J56" i="1"/>
  <c r="I56" i="1"/>
  <c r="H56" i="1"/>
  <c r="G56" i="1"/>
  <c r="F56" i="1"/>
  <c r="E56" i="1"/>
  <c r="D56" i="1"/>
  <c r="C56" i="1"/>
  <c r="H55" i="1"/>
  <c r="H54" i="1"/>
  <c r="J53" i="1"/>
  <c r="H53" i="1"/>
  <c r="I52" i="1"/>
  <c r="H52" i="1"/>
  <c r="E52" i="1"/>
  <c r="H51" i="1"/>
  <c r="K50" i="1"/>
  <c r="J50" i="1"/>
  <c r="I50" i="1"/>
  <c r="H50" i="1"/>
  <c r="G50" i="1"/>
  <c r="F50" i="1"/>
  <c r="E50" i="1"/>
  <c r="D50" i="1"/>
  <c r="C50" i="1"/>
  <c r="J49" i="1"/>
  <c r="I49" i="1"/>
  <c r="H49" i="1"/>
  <c r="E49" i="1"/>
  <c r="I48" i="1"/>
  <c r="H48" i="1"/>
  <c r="E48" i="1"/>
  <c r="H47" i="1"/>
  <c r="H46" i="1"/>
  <c r="K45" i="1"/>
  <c r="H45" i="1"/>
  <c r="K44" i="1"/>
  <c r="J44" i="1"/>
  <c r="I44" i="1"/>
  <c r="H44" i="1"/>
  <c r="E44" i="1"/>
  <c r="K43" i="1"/>
  <c r="H43" i="1"/>
  <c r="G43" i="1"/>
  <c r="I42" i="1"/>
  <c r="H42" i="1"/>
  <c r="E42" i="1"/>
  <c r="K41" i="1"/>
  <c r="J41" i="1"/>
  <c r="I41" i="1"/>
  <c r="H41" i="1"/>
  <c r="E41" i="1"/>
  <c r="K40" i="1"/>
  <c r="J40" i="1"/>
  <c r="I40" i="1"/>
  <c r="H40" i="1"/>
  <c r="E40" i="1"/>
  <c r="I39" i="1"/>
  <c r="H39" i="1"/>
  <c r="E39" i="1"/>
  <c r="K38" i="1"/>
  <c r="J38" i="1"/>
  <c r="I38" i="1"/>
  <c r="H38" i="1"/>
  <c r="G38" i="1"/>
  <c r="F38" i="1"/>
  <c r="E38" i="1"/>
  <c r="D38" i="1"/>
  <c r="C38" i="1"/>
  <c r="I37" i="1"/>
  <c r="H37" i="1"/>
  <c r="H36" i="1"/>
  <c r="I35" i="1"/>
  <c r="H35" i="1"/>
  <c r="E35" i="1"/>
  <c r="H34" i="1"/>
  <c r="C34" i="1"/>
  <c r="I33" i="1"/>
  <c r="H33" i="1"/>
  <c r="E33" i="1"/>
  <c r="C33" i="1"/>
  <c r="I32" i="1"/>
  <c r="H32" i="1"/>
  <c r="E32" i="1"/>
  <c r="C32" i="1"/>
  <c r="K31" i="1"/>
  <c r="J31" i="1"/>
  <c r="I31" i="1"/>
  <c r="H31" i="1"/>
  <c r="E31" i="1"/>
  <c r="D31" i="1"/>
  <c r="C31" i="1"/>
  <c r="K30" i="1"/>
  <c r="J30" i="1"/>
  <c r="I30" i="1"/>
  <c r="H30" i="1"/>
  <c r="G30" i="1"/>
  <c r="F30" i="1"/>
  <c r="E30" i="1"/>
  <c r="D30" i="1"/>
  <c r="C30" i="1"/>
  <c r="I29" i="1"/>
  <c r="H29" i="1"/>
  <c r="I28" i="1"/>
  <c r="H28" i="1"/>
  <c r="E28" i="1"/>
  <c r="H27" i="1"/>
  <c r="H26" i="1"/>
  <c r="H25" i="1"/>
  <c r="H24" i="1"/>
  <c r="K23" i="1"/>
  <c r="J23" i="1"/>
  <c r="I23" i="1"/>
  <c r="H23" i="1"/>
  <c r="G23" i="1"/>
  <c r="F23" i="1"/>
  <c r="E23" i="1"/>
  <c r="D23" i="1"/>
  <c r="C23" i="1"/>
  <c r="I22" i="1"/>
  <c r="H22" i="1"/>
  <c r="D22" i="1"/>
  <c r="I21" i="1"/>
  <c r="H21" i="1"/>
  <c r="E21" i="1"/>
  <c r="H20" i="1"/>
  <c r="H19" i="1"/>
  <c r="H18" i="1"/>
  <c r="H17" i="1"/>
  <c r="K16" i="1"/>
  <c r="J16" i="1"/>
  <c r="I16" i="1"/>
  <c r="H16" i="1"/>
  <c r="G16" i="1"/>
  <c r="F16" i="1"/>
  <c r="E16" i="1"/>
  <c r="D16" i="1"/>
  <c r="C16" i="1"/>
  <c r="H15" i="1"/>
  <c r="I14" i="1"/>
  <c r="H14" i="1"/>
  <c r="E14" i="1"/>
  <c r="I13" i="1"/>
  <c r="H13" i="1"/>
  <c r="E13" i="1"/>
  <c r="I12" i="1"/>
  <c r="H12" i="1"/>
  <c r="E12" i="1"/>
  <c r="H11" i="1"/>
  <c r="H10" i="1"/>
  <c r="K9" i="1"/>
  <c r="K66" i="1" s="1"/>
  <c r="K91" i="1" s="1"/>
  <c r="J9" i="1"/>
  <c r="J66" i="1" s="1"/>
  <c r="J91" i="1" s="1"/>
  <c r="I9" i="1"/>
  <c r="I66" i="1" s="1"/>
  <c r="I91" i="1" s="1"/>
  <c r="H9" i="1"/>
  <c r="G9" i="1"/>
  <c r="G66" i="1" s="1"/>
  <c r="G91" i="1" s="1"/>
  <c r="F9" i="1"/>
  <c r="F66" i="1" s="1"/>
  <c r="F91" i="1" s="1"/>
  <c r="E9" i="1"/>
  <c r="E66" i="1" s="1"/>
  <c r="E91" i="1" s="1"/>
  <c r="D9" i="1"/>
  <c r="D66" i="1" s="1"/>
  <c r="C9" i="1"/>
  <c r="C66" i="1" s="1"/>
  <c r="A1" i="1"/>
  <c r="C91" i="1" l="1"/>
  <c r="D158" i="1"/>
  <c r="D91" i="1"/>
  <c r="C158" i="1"/>
</calcChain>
</file>

<file path=xl/sharedStrings.xml><?xml version="1.0" encoding="utf-8"?>
<sst xmlns="http://schemas.openxmlformats.org/spreadsheetml/2006/main" count="313" uniqueCount="273">
  <si>
    <t xml:space="preserve">"
Tiszavasvári Város Önkormányzata
2020.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</si>
  <si>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</si>
  <si>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</si>
  <si>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</si>
  <si>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</si>
  <si>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</si>
  <si>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2018. évi tény</t>
  </si>
  <si>
    <t>2019. évi várható adat</t>
  </si>
  <si>
    <t>2020.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</si>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</sst>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165" fontId="6" fillId="0" borderId="0" applyFont="0" applyFill="0" applyBorder="0" applyAlignment="0" applyProtection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 applyFill="1" applyAlignment="1">
      <alignment horizontal="right"/>
    </xf>
    <xf numFmtId="0" fontId="2" fillId="0" borderId="0" xfId="2" applyFill="1"/>
    <xf numFmtId="0" fontId="2" fillId="0" borderId="0" xfId="2" applyFont="1" applyFill="1"/>
    <xf numFmtId="3" fontId="2" fillId="0" borderId="0" xfId="2" applyNumberFormat="1" applyFont="1" applyFill="1" applyAlignment="1">
      <alignment horizontal="right" indent="1"/>
    </xf>
    <xf numFmtId="0" fontId="3" fillId="0" borderId="0" xfId="2" applyFont="1" applyFill="1" applyAlignment="1">
      <alignment horizontal="center" wrapText="1"/>
    </xf>
    <xf numFmtId="0" fontId="3" fillId="0" borderId="0" xfId="2" applyFont="1" applyFill="1" applyAlignment="1">
      <alignment horizontal="center"/>
    </xf>
    <xf numFmtId="164" fontId="4" fillId="0" borderId="0" xfId="2" applyNumberFormat="1" applyFont="1" applyFill="1" applyBorder="1" applyAlignment="1" applyProtection="1">
      <alignment horizontal="center" vertical="center"/>
    </xf>
    <xf numFmtId="164" fontId="5" fillId="0" borderId="1" xfId="2" applyNumberFormat="1" applyFont="1" applyFill="1" applyBorder="1" applyAlignment="1" applyProtection="1">
      <alignment horizontal="left" vertical="center"/>
    </xf>
    <xf numFmtId="3" fontId="5" fillId="0" borderId="1" xfId="2" applyNumberFormat="1" applyFont="1" applyFill="1" applyBorder="1" applyAlignment="1" applyProtection="1">
      <alignment horizontal="right" vertical="center" indent="1"/>
    </xf>
    <xf numFmtId="3" fontId="5" fillId="0" borderId="0" xfId="2" applyNumberFormat="1" applyFont="1" applyFill="1" applyBorder="1" applyAlignment="1" applyProtection="1">
      <alignment horizontal="right" vertical="center" indent="1"/>
    </xf>
    <xf numFmtId="3" fontId="7" fillId="0" borderId="0" xfId="0" applyNumberFormat="1" applyFont="1" applyFill="1" applyBorder="1" applyAlignment="1" applyProtection="1">
      <alignment horizontal="right" vertical="center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3" xfId="2" applyNumberFormat="1" applyFont="1" applyFill="1" applyBorder="1" applyAlignment="1" applyProtection="1">
      <alignment horizontal="right" vertical="center" wrapText="1" inden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3" fontId="9" fillId="0" borderId="4" xfId="2" applyNumberFormat="1" applyFont="1" applyFill="1" applyBorder="1" applyAlignment="1" applyProtection="1">
      <alignment horizontal="right" vertical="center" wrapText="1" indent="1"/>
    </xf>
    <xf numFmtId="3" fontId="9" fillId="0" borderId="6" xfId="2" applyNumberFormat="1" applyFont="1" applyFill="1" applyBorder="1" applyAlignment="1" applyProtection="1">
      <alignment horizontal="right" vertical="center" wrapText="1" indent="1"/>
    </xf>
    <xf numFmtId="3" fontId="9" fillId="0" borderId="7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0" fontId="9" fillId="0" borderId="2" xfId="2" applyFont="1" applyFill="1" applyBorder="1" applyAlignment="1" applyProtection="1">
      <alignment horizontal="left" vertical="center" wrapText="1" indent="1"/>
    </xf>
    <xf numFmtId="0" fontId="9" fillId="0" borderId="3" xfId="2" applyFont="1" applyFill="1" applyBorder="1" applyAlignment="1" applyProtection="1">
      <alignment horizontal="lef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3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8" xfId="2" applyNumberFormat="1" applyFont="1" applyFill="1" applyBorder="1" applyAlignment="1" applyProtection="1">
      <alignment horizontal="right" vertical="center" wrapText="1" indent="1"/>
    </xf>
    <xf numFmtId="0" fontId="11" fillId="0" borderId="0" xfId="2" applyFont="1" applyFill="1"/>
    <xf numFmtId="49" fontId="10" fillId="0" borderId="9" xfId="2" applyNumberFormat="1" applyFont="1" applyFill="1" applyBorder="1" applyAlignment="1" applyProtection="1">
      <alignment horizontal="left" vertical="center" wrapText="1" indent="1"/>
    </xf>
    <xf numFmtId="0" fontId="12" fillId="0" borderId="10" xfId="0" applyFont="1" applyBorder="1" applyAlignment="1" applyProtection="1">
      <alignment horizontal="left" wrapText="1" indent="1"/>
    </xf>
    <xf numFmtId="3" fontId="12" fillId="0" borderId="11" xfId="1" applyNumberFormat="1" applyFont="1" applyBorder="1" applyAlignment="1" applyProtection="1">
      <alignment horizontal="right" wrapText="1" indent="1"/>
    </xf>
    <xf numFmtId="3" fontId="13" fillId="0" borderId="12" xfId="2" applyNumberFormat="1" applyFont="1" applyFill="1" applyBorder="1" applyAlignment="1" applyProtection="1">
      <alignment horizontal="right" vertical="center" wrapText="1" indent="1"/>
    </xf>
    <xf numFmtId="3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5" xfId="2" applyNumberFormat="1" applyFont="1" applyFill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left" wrapText="1" indent="1"/>
    </xf>
    <xf numFmtId="3" fontId="12" fillId="0" borderId="17" xfId="1" applyNumberFormat="1" applyFont="1" applyBorder="1" applyAlignment="1" applyProtection="1">
      <alignment horizontal="right" wrapText="1" indent="1"/>
    </xf>
    <xf numFmtId="3" fontId="13" fillId="0" borderId="18" xfId="2" applyNumberFormat="1" applyFont="1" applyFill="1" applyBorder="1" applyAlignment="1" applyProtection="1">
      <alignment horizontal="right" vertical="center" wrapText="1" indent="1"/>
    </xf>
    <xf numFmtId="3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2" applyNumberFormat="1" applyFont="1" applyFill="1" applyBorder="1" applyAlignment="1" applyProtection="1">
      <alignment horizontal="right" vertical="center" wrapText="1" indent="1"/>
    </xf>
    <xf numFmtId="164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0" applyFont="1" applyBorder="1" applyAlignment="1" applyProtection="1">
      <alignment horizontal="left" vertical="center" wrapText="1" indent="1"/>
    </xf>
    <xf numFmtId="49" fontId="10" fillId="0" borderId="20" xfId="2" applyNumberFormat="1" applyFont="1" applyFill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3" fontId="12" fillId="0" borderId="22" xfId="1" applyNumberFormat="1" applyFont="1" applyBorder="1" applyAlignment="1" applyProtection="1">
      <alignment horizontal="right" wrapText="1" indent="1"/>
    </xf>
    <xf numFmtId="3" fontId="13" fillId="0" borderId="23" xfId="2" applyNumberFormat="1" applyFont="1" applyFill="1" applyBorder="1" applyAlignment="1" applyProtection="1">
      <alignment horizontal="right" vertical="center" wrapText="1" indent="1"/>
    </xf>
    <xf numFmtId="3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</xf>
    <xf numFmtId="164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3" fontId="14" fillId="0" borderId="24" xfId="1" applyNumberFormat="1" applyFont="1" applyBorder="1" applyAlignment="1" applyProtection="1">
      <alignment horizontal="right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</xf>
    <xf numFmtId="0" fontId="12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164" fontId="15" fillId="0" borderId="8" xfId="2" applyNumberFormat="1" applyFont="1" applyFill="1" applyBorder="1" applyAlignment="1" applyProtection="1">
      <alignment horizontal="right" vertical="center" wrapText="1" indent="1"/>
    </xf>
    <xf numFmtId="164" fontId="15" fillId="0" borderId="5" xfId="2" applyNumberFormat="1" applyFont="1" applyFill="1" applyBorder="1" applyAlignment="1" applyProtection="1">
      <alignment horizontal="right" vertical="center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</xf>
    <xf numFmtId="3" fontId="10" fillId="0" borderId="14" xfId="2" applyNumberFormat="1" applyFont="1" applyFill="1" applyBorder="1" applyAlignment="1" applyProtection="1">
      <alignment horizontal="right" vertical="center" wrapText="1" indent="1"/>
    </xf>
    <xf numFmtId="164" fontId="10" fillId="0" borderId="13" xfId="2" applyNumberFormat="1" applyFont="1" applyFill="1" applyBorder="1" applyAlignment="1" applyProtection="1">
      <alignment horizontal="right" vertical="center" wrapText="1" indent="1"/>
    </xf>
    <xf numFmtId="0" fontId="12" fillId="0" borderId="16" xfId="0" quotePrefix="1" applyFont="1" applyBorder="1" applyAlignment="1" applyProtection="1">
      <alignment horizontal="left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23" xfId="2" applyNumberFormat="1" applyFont="1" applyFill="1" applyBorder="1" applyAlignment="1" applyProtection="1">
      <alignment horizontal="right" vertical="center" wrapText="1" indent="1"/>
    </xf>
    <xf numFmtId="164" fontId="9" fillId="0" borderId="24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164" fontId="9" fillId="0" borderId="14" xfId="2" applyNumberFormat="1" applyFont="1" applyFill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3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left"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0" fontId="14" fillId="0" borderId="2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3" fontId="10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2" fillId="0" borderId="9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12" fillId="0" borderId="20" xfId="0" applyFont="1" applyBorder="1" applyAlignment="1" applyProtection="1">
      <alignment wrapText="1"/>
    </xf>
    <xf numFmtId="3" fontId="12" fillId="0" borderId="24" xfId="1" applyNumberFormat="1" applyFont="1" applyBorder="1" applyAlignment="1" applyProtection="1">
      <alignment horizontal="right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7" xfId="0" applyFont="1" applyBorder="1" applyAlignment="1" applyProtection="1">
      <alignment vertical="center" wrapText="1"/>
    </xf>
    <xf numFmtId="0" fontId="14" fillId="0" borderId="28" xfId="0" applyFont="1" applyBorder="1" applyAlignment="1" applyProtection="1">
      <alignment wrapText="1"/>
    </xf>
    <xf numFmtId="0" fontId="4" fillId="0" borderId="29" xfId="2" applyFont="1" applyFill="1" applyBorder="1" applyAlignment="1" applyProtection="1">
      <alignment horizontal="center" vertical="center" wrapText="1"/>
    </xf>
    <xf numFmtId="0" fontId="4" fillId="0" borderId="29" xfId="2" applyFont="1" applyFill="1" applyBorder="1" applyAlignment="1" applyProtection="1">
      <alignment vertical="center" wrapText="1"/>
    </xf>
    <xf numFmtId="3" fontId="4" fillId="0" borderId="29" xfId="2" applyNumberFormat="1" applyFont="1" applyFill="1" applyBorder="1" applyAlignment="1" applyProtection="1">
      <alignment horizontal="right" vertical="center" wrapText="1" indent="1"/>
    </xf>
    <xf numFmtId="3" fontId="10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" xfId="2" applyNumberFormat="1" applyFont="1" applyFill="1" applyBorder="1" applyAlignment="1" applyProtection="1">
      <alignment horizontal="left"/>
    </xf>
    <xf numFmtId="3" fontId="5" fillId="0" borderId="1" xfId="2" applyNumberFormat="1" applyFont="1" applyFill="1" applyBorder="1" applyAlignment="1" applyProtection="1">
      <alignment horizontal="right" indent="1"/>
    </xf>
    <xf numFmtId="3" fontId="7" fillId="0" borderId="1" xfId="0" applyNumberFormat="1" applyFont="1" applyFill="1" applyBorder="1" applyAlignment="1" applyProtection="1">
      <alignment horizontal="right" vertical="center" indent="1"/>
    </xf>
    <xf numFmtId="0" fontId="8" fillId="0" borderId="4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3" fontId="9" fillId="0" borderId="30" xfId="2" applyNumberFormat="1" applyFont="1" applyFill="1" applyBorder="1" applyAlignment="1" applyProtection="1">
      <alignment horizontal="right" vertical="center" wrapText="1" indent="1"/>
    </xf>
    <xf numFmtId="0" fontId="9" fillId="0" borderId="31" xfId="2" applyFont="1" applyFill="1" applyBorder="1" applyAlignment="1" applyProtection="1">
      <alignment horizontal="left" vertical="center" wrapText="1" indent="1"/>
    </xf>
    <xf numFmtId="0" fontId="9" fillId="0" borderId="6" xfId="2" applyFont="1" applyFill="1" applyBorder="1" applyAlignment="1" applyProtection="1">
      <alignment vertical="center" wrapText="1"/>
    </xf>
    <xf numFmtId="3" fontId="9" fillId="0" borderId="32" xfId="2" applyNumberFormat="1" applyFont="1" applyFill="1" applyBorder="1" applyAlignment="1" applyProtection="1">
      <alignment horizontal="right" vertical="center" wrapText="1" indent="1"/>
    </xf>
    <xf numFmtId="164" fontId="9" fillId="0" borderId="5" xfId="2" applyNumberFormat="1" applyFont="1" applyFill="1" applyBorder="1" applyAlignment="1" applyProtection="1">
      <alignment horizontal="center" vertical="center" wrapText="1"/>
    </xf>
    <xf numFmtId="164" fontId="9" fillId="0" borderId="32" xfId="2" applyNumberFormat="1" applyFont="1" applyFill="1" applyBorder="1" applyAlignment="1" applyProtection="1">
      <alignment horizontal="right" vertical="center" wrapText="1" indent="1"/>
    </xf>
    <xf numFmtId="164" fontId="9" fillId="0" borderId="7" xfId="2" applyNumberFormat="1" applyFont="1" applyFill="1" applyBorder="1" applyAlignment="1" applyProtection="1">
      <alignment horizontal="right" vertical="center" wrapText="1" indent="1"/>
    </xf>
    <xf numFmtId="49" fontId="10" fillId="0" borderId="33" xfId="2" applyNumberFormat="1" applyFont="1" applyFill="1" applyBorder="1" applyAlignment="1" applyProtection="1">
      <alignment horizontal="left" vertical="center" wrapText="1" indent="1"/>
    </xf>
    <xf numFmtId="0" fontId="10" fillId="0" borderId="34" xfId="2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right" wrapText="1" indent="1"/>
    </xf>
    <xf numFmtId="3" fontId="13" fillId="0" borderId="13" xfId="2" applyNumberFormat="1" applyFont="1" applyFill="1" applyBorder="1" applyAlignment="1" applyProtection="1">
      <alignment horizontal="right" vertical="center" wrapText="1" indent="1"/>
    </xf>
    <xf numFmtId="3" fontId="13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2" applyNumberFormat="1" applyFont="1" applyFill="1" applyBorder="1" applyAlignment="1" applyProtection="1">
      <alignment horizontal="center" vertical="center" wrapText="1"/>
    </xf>
    <xf numFmtId="164" fontId="13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6" xfId="2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right" wrapText="1" indent="1"/>
    </xf>
    <xf numFmtId="3" fontId="13" fillId="0" borderId="19" xfId="2" applyNumberFormat="1" applyFont="1" applyFill="1" applyBorder="1" applyAlignment="1" applyProtection="1">
      <alignment horizontal="right" vertical="center" wrapText="1" indent="1"/>
    </xf>
    <xf numFmtId="3" fontId="10" fillId="0" borderId="37" xfId="1" applyNumberFormat="1" applyFont="1" applyFill="1" applyBorder="1" applyAlignment="1" applyProtection="1">
      <alignment horizontal="right" wrapText="1" indent="1"/>
    </xf>
    <xf numFmtId="0" fontId="10" fillId="0" borderId="38" xfId="2" applyFont="1" applyFill="1" applyBorder="1" applyAlignment="1" applyProtection="1">
      <alignment horizontal="left" vertical="center" wrapText="1" indent="1"/>
    </xf>
    <xf numFmtId="0" fontId="10" fillId="0" borderId="0" xfId="2" applyFont="1" applyFill="1" applyBorder="1" applyAlignment="1" applyProtection="1">
      <alignment horizontal="left" vertical="center" wrapText="1" indent="1"/>
    </xf>
    <xf numFmtId="0" fontId="10" fillId="0" borderId="21" xfId="2" applyFont="1" applyFill="1" applyBorder="1" applyAlignment="1" applyProtection="1">
      <alignment horizontal="left" vertical="center" wrapText="1" indent="6"/>
    </xf>
    <xf numFmtId="0" fontId="10" fillId="0" borderId="16" xfId="2" applyFont="1" applyFill="1" applyBorder="1" applyAlignment="1" applyProtection="1">
      <alignment horizontal="left" indent="6"/>
    </xf>
    <xf numFmtId="3" fontId="10" fillId="0" borderId="37" xfId="1" applyNumberFormat="1" applyFont="1" applyFill="1" applyBorder="1" applyAlignment="1" applyProtection="1">
      <alignment horizontal="right" indent="1"/>
    </xf>
    <xf numFmtId="0" fontId="10" fillId="0" borderId="16" xfId="2" applyFont="1" applyFill="1" applyBorder="1" applyAlignment="1" applyProtection="1">
      <alignment horizontal="left" vertical="center" wrapText="1" indent="6"/>
    </xf>
    <xf numFmtId="3" fontId="10" fillId="0" borderId="37" xfId="1" applyNumberFormat="1" applyFont="1" applyFill="1" applyBorder="1" applyAlignment="1" applyProtection="1">
      <alignment horizontal="right" vertical="center" wrapText="1" indent="1"/>
    </xf>
    <xf numFmtId="49" fontId="10" fillId="0" borderId="39" xfId="2" applyNumberFormat="1" applyFont="1" applyFill="1" applyBorder="1" applyAlignment="1" applyProtection="1">
      <alignment horizontal="left" vertical="center" wrapText="1" indent="1"/>
    </xf>
    <xf numFmtId="3" fontId="13" fillId="0" borderId="36" xfId="1" applyNumberFormat="1" applyFont="1" applyFill="1" applyBorder="1" applyAlignment="1" applyProtection="1">
      <alignment horizontal="right" vertical="center" wrapText="1" indent="1"/>
    </xf>
    <xf numFmtId="3" fontId="10" fillId="0" borderId="36" xfId="1" applyNumberFormat="1" applyFont="1" applyFill="1" applyBorder="1" applyAlignment="1" applyProtection="1">
      <alignment horizontal="right" vertical="center" wrapText="1" indent="1"/>
    </xf>
    <xf numFmtId="49" fontId="10" fillId="0" borderId="40" xfId="2" applyNumberFormat="1" applyFont="1" applyFill="1" applyBorder="1" applyAlignment="1" applyProtection="1">
      <alignment horizontal="left" vertical="center" wrapText="1" indent="1"/>
    </xf>
    <xf numFmtId="0" fontId="10" fillId="0" borderId="41" xfId="2" applyFont="1" applyFill="1" applyBorder="1" applyAlignment="1" applyProtection="1">
      <alignment horizontal="left" vertical="center" wrapText="1" indent="7"/>
    </xf>
    <xf numFmtId="3" fontId="10" fillId="0" borderId="42" xfId="1" applyNumberFormat="1" applyFont="1" applyFill="1" applyBorder="1" applyAlignment="1" applyProtection="1">
      <alignment horizontal="right" vertical="center" wrapText="1" indent="1"/>
    </xf>
    <xf numFmtId="3" fontId="13" fillId="0" borderId="25" xfId="2" applyNumberFormat="1" applyFont="1" applyFill="1" applyBorder="1" applyAlignment="1" applyProtection="1">
      <alignment horizontal="right" vertical="center" wrapText="1" indent="1"/>
    </xf>
    <xf numFmtId="3" fontId="13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2" applyFont="1" applyFill="1" applyBorder="1" applyAlignment="1" applyProtection="1">
      <alignment horizontal="left" vertical="center" wrapText="1" indent="1"/>
    </xf>
    <xf numFmtId="0" fontId="9" fillId="0" borderId="28" xfId="2" applyFont="1" applyFill="1" applyBorder="1" applyAlignment="1" applyProtection="1">
      <alignment vertical="center" wrapText="1"/>
    </xf>
    <xf numFmtId="3" fontId="9" fillId="0" borderId="44" xfId="2" applyNumberFormat="1" applyFont="1" applyFill="1" applyBorder="1" applyAlignment="1" applyProtection="1">
      <alignment horizontal="right" vertical="center" wrapText="1" inden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164" fontId="9" fillId="0" borderId="44" xfId="2" applyNumberFormat="1" applyFont="1" applyFill="1" applyBorder="1" applyAlignment="1" applyProtection="1">
      <alignment horizontal="right" vertical="center" wrapText="1" indent="1"/>
    </xf>
    <xf numFmtId="3" fontId="10" fillId="0" borderId="17" xfId="1" applyNumberFormat="1" applyFont="1" applyFill="1" applyBorder="1" applyAlignment="1" applyProtection="1">
      <alignment horizontal="right" vertical="center" wrapText="1" indent="1"/>
    </xf>
    <xf numFmtId="0" fontId="10" fillId="0" borderId="21" xfId="2" applyFont="1" applyFill="1" applyBorder="1" applyAlignment="1" applyProtection="1">
      <alignment horizontal="left" vertical="center" wrapText="1" indent="1"/>
    </xf>
    <xf numFmtId="3" fontId="10" fillId="0" borderId="22" xfId="1" applyNumberFormat="1" applyFont="1" applyFill="1" applyBorder="1" applyAlignment="1" applyProtection="1">
      <alignment horizontal="right" vertical="center" wrapText="1" indent="1"/>
    </xf>
    <xf numFmtId="3" fontId="10" fillId="0" borderId="37" xfId="2" applyNumberFormat="1" applyFont="1" applyFill="1" applyBorder="1" applyAlignment="1" applyProtection="1">
      <alignment horizontal="right" vertical="center" wrapText="1" indent="1"/>
    </xf>
    <xf numFmtId="3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7" xfId="0" applyNumberFormat="1" applyFont="1" applyBorder="1" applyAlignment="1" applyProtection="1">
      <alignment horizontal="right" vertical="center" wrapText="1" indent="1"/>
    </xf>
    <xf numFmtId="3" fontId="12" fillId="0" borderId="36" xfId="0" applyNumberFormat="1" applyFont="1" applyBorder="1" applyAlignment="1" applyProtection="1">
      <alignment horizontal="right" vertical="center" wrapText="1" indent="1"/>
    </xf>
    <xf numFmtId="0" fontId="10" fillId="0" borderId="10" xfId="2" applyFont="1" applyFill="1" applyBorder="1" applyAlignment="1" applyProtection="1">
      <alignment horizontal="left" vertical="center" wrapText="1" indent="6"/>
    </xf>
    <xf numFmtId="3" fontId="10" fillId="0" borderId="17" xfId="2" applyNumberFormat="1" applyFont="1" applyFill="1" applyBorder="1" applyAlignment="1" applyProtection="1">
      <alignment horizontal="right" vertical="center" wrapText="1" indent="1"/>
    </xf>
    <xf numFmtId="3" fontId="10" fillId="0" borderId="36" xfId="2" applyNumberFormat="1" applyFont="1" applyFill="1" applyBorder="1" applyAlignment="1" applyProtection="1">
      <alignment horizontal="right" vertical="center" wrapText="1" inden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10" fillId="0" borderId="19" xfId="2" applyNumberFormat="1" applyFont="1" applyFill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right" vertical="center" wrapText="1" indent="1"/>
    </xf>
    <xf numFmtId="164" fontId="13" fillId="0" borderId="45" xfId="2" applyNumberFormat="1" applyFont="1" applyFill="1" applyBorder="1" applyAlignment="1" applyProtection="1">
      <alignment horizontal="center" vertical="center" wrapText="1"/>
    </xf>
    <xf numFmtId="0" fontId="10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10" fillId="0" borderId="46" xfId="2" applyFont="1" applyFill="1" applyBorder="1" applyAlignment="1" applyProtection="1">
      <alignment horizontal="left" vertical="center" wrapText="1" indent="1"/>
    </xf>
    <xf numFmtId="3" fontId="10" fillId="0" borderId="22" xfId="2" applyNumberFormat="1" applyFont="1" applyFill="1" applyBorder="1" applyAlignment="1" applyProtection="1">
      <alignment horizontal="right" vertical="center" wrapText="1" inden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3" fontId="10" fillId="0" borderId="8" xfId="2" applyNumberFormat="1" applyFont="1" applyFill="1" applyBorder="1" applyAlignment="1" applyProtection="1">
      <alignment horizontal="right" vertical="center" wrapText="1" indent="1"/>
    </xf>
    <xf numFmtId="3" fontId="14" fillId="0" borderId="8" xfId="0" applyNumberFormat="1" applyFont="1" applyBorder="1" applyAlignment="1" applyProtection="1">
      <alignment horizontal="right" vertical="center" wrapText="1" indent="1"/>
    </xf>
    <xf numFmtId="3" fontId="14" fillId="0" borderId="5" xfId="0" applyNumberFormat="1" applyFont="1" applyBorder="1" applyAlignment="1" applyProtection="1">
      <alignment horizontal="right" vertical="center" wrapText="1" indent="1"/>
    </xf>
    <xf numFmtId="3" fontId="14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3" fontId="16" fillId="0" borderId="8" xfId="0" quotePrefix="1" applyNumberFormat="1" applyFont="1" applyBorder="1" applyAlignment="1" applyProtection="1">
      <alignment horizontal="right" vertical="center" wrapText="1" indent="1"/>
    </xf>
    <xf numFmtId="3" fontId="16" fillId="0" borderId="5" xfId="0" quotePrefix="1" applyNumberFormat="1" applyFont="1" applyBorder="1" applyAlignment="1" applyProtection="1">
      <alignment horizontal="right" vertical="center" wrapText="1" indent="1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27" xfId="0" applyFont="1" applyBorder="1" applyAlignment="1" applyProtection="1">
      <alignment horizontal="left" vertical="center" wrapText="1" indent="1"/>
    </xf>
    <xf numFmtId="0" fontId="16" fillId="0" borderId="28" xfId="0" applyFont="1" applyBorder="1" applyAlignment="1" applyProtection="1">
      <alignment horizontal="left" vertical="center" wrapText="1" indent="1"/>
    </xf>
  </cellXfs>
  <cellStyles count="35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6" xfId="20"/>
    <cellStyle name="Ezres 7" xfId="21"/>
    <cellStyle name="hetmál kút" xfId="22"/>
    <cellStyle name="Hiperhivatkozás" xfId="23"/>
    <cellStyle name="Már látott hiperhivatkozás" xfId="24"/>
    <cellStyle name="Normál" xfId="0" builtinId="0"/>
    <cellStyle name="Normál 2" xfId="25"/>
    <cellStyle name="Normál 2 2" xfId="26"/>
    <cellStyle name="Normál 2 3" xfId="27"/>
    <cellStyle name="Normál 3" xfId="28"/>
    <cellStyle name="Normál 3 2" xfId="29"/>
    <cellStyle name="Normál 3 2 2" xfId="30"/>
    <cellStyle name="Normál 4" xfId="31"/>
    <cellStyle name="Normál 5" xfId="32"/>
    <cellStyle name="Normál 6" xfId="33"/>
    <cellStyle name="Normál_KVRENMUNKA" xfId="2"/>
    <cellStyle name="Százalék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_2020/6_2020.%20(II.27)%202020.%20&#233;vi%20k&#246;lts&#233;gvet&#233;si%20rendelet%20m&#243;dos&#237;t&#225;s&#225;nak%20mell&#233;klet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6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II.27</v>
          </cell>
          <cell r="G7" t="str">
            <v>)</v>
          </cell>
          <cell r="H7" t="str">
            <v>önkormányzati határozathoz</v>
          </cell>
        </row>
      </sheetData>
      <sheetData sheetId="1">
        <row r="11">
          <cell r="C11">
            <v>1425055633</v>
          </cell>
        </row>
        <row r="12">
          <cell r="C12">
            <v>229318994</v>
          </cell>
        </row>
        <row r="13">
          <cell r="C13">
            <v>229603230</v>
          </cell>
        </row>
        <row r="14">
          <cell r="C14">
            <v>785215024</v>
          </cell>
        </row>
        <row r="15">
          <cell r="C15">
            <v>20802409</v>
          </cell>
        </row>
        <row r="16">
          <cell r="C16">
            <v>160115976</v>
          </cell>
        </row>
        <row r="17">
          <cell r="C17">
            <v>0</v>
          </cell>
        </row>
        <row r="18">
          <cell r="C18">
            <v>340613687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340613687</v>
          </cell>
        </row>
        <row r="24">
          <cell r="C24">
            <v>205568019</v>
          </cell>
        </row>
        <row r="25">
          <cell r="C25">
            <v>47689834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47689834</v>
          </cell>
        </row>
        <row r="31">
          <cell r="C31">
            <v>38069834</v>
          </cell>
        </row>
        <row r="32">
          <cell r="C32">
            <v>538000000</v>
          </cell>
        </row>
        <row r="33">
          <cell r="C33">
            <v>486000000</v>
          </cell>
        </row>
        <row r="34">
          <cell r="C34">
            <v>86000000</v>
          </cell>
        </row>
        <row r="35">
          <cell r="C35">
            <v>400000000</v>
          </cell>
        </row>
        <row r="36">
          <cell r="C36">
            <v>0</v>
          </cell>
        </row>
        <row r="37">
          <cell r="C37">
            <v>35000000</v>
          </cell>
        </row>
        <row r="38">
          <cell r="C38">
            <v>1000000</v>
          </cell>
        </row>
        <row r="39">
          <cell r="C39">
            <v>16000000</v>
          </cell>
        </row>
        <row r="40">
          <cell r="C40">
            <v>345277930</v>
          </cell>
        </row>
        <row r="41">
          <cell r="C41">
            <v>8195576</v>
          </cell>
        </row>
        <row r="42">
          <cell r="C42">
            <v>76669769</v>
          </cell>
        </row>
        <row r="43">
          <cell r="C43">
            <v>27920669</v>
          </cell>
        </row>
        <row r="44">
          <cell r="C44">
            <v>1006560</v>
          </cell>
        </row>
        <row r="45">
          <cell r="C45">
            <v>196813506</v>
          </cell>
        </row>
        <row r="46">
          <cell r="C46">
            <v>23568249</v>
          </cell>
        </row>
        <row r="47">
          <cell r="C47">
            <v>8775000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1000000</v>
          </cell>
        </row>
        <row r="51">
          <cell r="C51">
            <v>1328601</v>
          </cell>
        </row>
        <row r="52">
          <cell r="C52">
            <v>44604508</v>
          </cell>
        </row>
        <row r="53">
          <cell r="C53">
            <v>0</v>
          </cell>
        </row>
        <row r="54">
          <cell r="C54">
            <v>44304508</v>
          </cell>
        </row>
        <row r="55">
          <cell r="C55">
            <v>300000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2175000</v>
          </cell>
        </row>
        <row r="59">
          <cell r="C59">
            <v>0</v>
          </cell>
        </row>
        <row r="60">
          <cell r="C60">
            <v>600000</v>
          </cell>
        </row>
        <row r="61">
          <cell r="C61">
            <v>1575000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2743416592</v>
          </cell>
        </row>
        <row r="69">
          <cell r="C69">
            <v>742411899</v>
          </cell>
        </row>
        <row r="70">
          <cell r="C70">
            <v>42411899</v>
          </cell>
        </row>
        <row r="71">
          <cell r="C71">
            <v>700000000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967968475</v>
          </cell>
        </row>
        <row r="79">
          <cell r="C79">
            <v>967968475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1710380374</v>
          </cell>
        </row>
        <row r="93">
          <cell r="C93">
            <v>4453796966</v>
          </cell>
        </row>
        <row r="99">
          <cell r="C99">
            <v>2777107681</v>
          </cell>
        </row>
        <row r="100">
          <cell r="C100">
            <v>1205958121</v>
          </cell>
        </row>
        <row r="101">
          <cell r="C101">
            <v>228956668</v>
          </cell>
        </row>
        <row r="102">
          <cell r="C102">
            <v>937314096</v>
          </cell>
        </row>
        <row r="103">
          <cell r="C103">
            <v>61300000</v>
          </cell>
        </row>
        <row r="105">
          <cell r="C105">
            <v>2500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526000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209809458</v>
          </cell>
        </row>
        <row r="117">
          <cell r="C117">
            <v>133240838</v>
          </cell>
        </row>
        <row r="118">
          <cell r="C118">
            <v>20000000</v>
          </cell>
        </row>
        <row r="119">
          <cell r="C119">
            <v>113240838</v>
          </cell>
        </row>
        <row r="120">
          <cell r="C120">
            <v>950650851</v>
          </cell>
        </row>
        <row r="121">
          <cell r="C121">
            <v>680503226</v>
          </cell>
        </row>
        <row r="122">
          <cell r="C122">
            <v>575467863</v>
          </cell>
        </row>
        <row r="123">
          <cell r="C123">
            <v>262245726</v>
          </cell>
        </row>
        <row r="124">
          <cell r="C124">
            <v>92353398</v>
          </cell>
        </row>
        <row r="125">
          <cell r="C125">
            <v>7901899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7901899</v>
          </cell>
        </row>
        <row r="134">
          <cell r="C134">
            <v>3727758532</v>
          </cell>
        </row>
        <row r="135">
          <cell r="C135">
            <v>726038434</v>
          </cell>
        </row>
        <row r="136">
          <cell r="C136">
            <v>26038434</v>
          </cell>
        </row>
        <row r="137">
          <cell r="C137">
            <v>700000000</v>
          </cell>
        </row>
        <row r="138">
          <cell r="C138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726038434</v>
          </cell>
        </row>
        <row r="160">
          <cell r="C160">
            <v>4453796966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/>
  <dimension ref="A1:K162"/>
  <sheetViews>
    <sheetView tabSelected="1" zoomScaleNormal="100" zoomScaleSheetLayoutView="85" workbookViewId="0">
      <selection activeCell="D16" sqref="D16"/>
    </sheetView>
  </sheetViews>
  <sheetFormatPr defaultRowHeight="15.75" x14ac:dyDescent="0.25"/>
  <cols>
    <col min="1" max="1" width="9" style="3" customWidth="1"/>
    <col min="2" max="2" width="67.1640625" style="3" bestFit="1" customWidth="1"/>
    <col min="3" max="3" width="16.5" style="4" customWidth="1"/>
    <col min="4" max="4" width="15.5" style="4" customWidth="1"/>
    <col min="5" max="7" width="15.5" style="4" hidden="1" customWidth="1"/>
    <col min="8" max="8" width="15.5" style="4" customWidth="1"/>
    <col min="9" max="9" width="14.33203125" style="2" hidden="1" customWidth="1"/>
    <col min="10" max="10" width="12.6640625" style="2" hidden="1" customWidth="1"/>
    <col min="11" max="11" width="14.33203125" style="2" hidden="1" customWidth="1"/>
    <col min="12" max="16384" width="9.33203125" style="2"/>
  </cols>
  <sheetData>
    <row r="1" spans="1:11" x14ac:dyDescent="0.25">
      <c r="A1" s="1" t="str">
        <f>CONCATENATE("15. számú tájékoztató tábla ",[1]ALAPADATOK!A7," ",[1]ALAPADATOK!B7," ",[1]ALAPADATOK!C7," ",[1]ALAPADATOK!D7," ",[1]ALAPADATOK!E7," ",[1]ALAPADATOK!F7," ",[1]ALAPADATOK!G7," ",[1]ALAPADATOK!H7)</f>
        <v>15. számú tájékoztató tábla a 6 / 2020. ( II.27 ) önkormányzati határozathoz</v>
      </c>
      <c r="B1" s="1"/>
      <c r="C1" s="1"/>
      <c r="D1" s="1"/>
      <c r="E1" s="1"/>
      <c r="F1" s="1"/>
      <c r="G1" s="1"/>
      <c r="H1" s="1"/>
    </row>
    <row r="3" spans="1:11" ht="35.25" customHeight="1" x14ac:dyDescent="0.25">
      <c r="A3" s="5" t="s">
        <v>0</v>
      </c>
      <c r="B3" s="6"/>
      <c r="C3" s="6"/>
      <c r="D3" s="6"/>
      <c r="E3" s="6"/>
      <c r="F3" s="6"/>
      <c r="G3" s="6"/>
      <c r="H3" s="6"/>
    </row>
    <row r="5" spans="1:11" ht="15.95" customHeight="1" x14ac:dyDescent="0.25">
      <c r="A5" s="7" t="s">
        <v>1</v>
      </c>
      <c r="B5" s="7"/>
      <c r="C5" s="7"/>
      <c r="D5" s="7"/>
      <c r="E5" s="7"/>
      <c r="F5" s="7"/>
      <c r="G5" s="7"/>
      <c r="H5" s="7"/>
    </row>
    <row r="6" spans="1:11" ht="15.95" customHeight="1" thickBot="1" x14ac:dyDescent="0.3">
      <c r="A6" s="8" t="s">
        <v>2</v>
      </c>
      <c r="B6" s="8"/>
      <c r="C6" s="9"/>
      <c r="D6" s="9"/>
      <c r="E6" s="10"/>
      <c r="F6" s="10"/>
      <c r="G6" s="10"/>
      <c r="H6" s="11" t="s">
        <v>3</v>
      </c>
    </row>
    <row r="7" spans="1:11" ht="38.1" customHeight="1" thickBot="1" x14ac:dyDescent="0.3">
      <c r="A7" s="12" t="s">
        <v>4</v>
      </c>
      <c r="B7" s="13" t="s">
        <v>5</v>
      </c>
      <c r="C7" s="14" t="s">
        <v>6</v>
      </c>
      <c r="D7" s="14" t="s">
        <v>7</v>
      </c>
      <c r="E7" s="15"/>
      <c r="F7" s="15"/>
      <c r="G7" s="15"/>
      <c r="H7" s="16" t="s">
        <v>8</v>
      </c>
    </row>
    <row r="8" spans="1:11" s="22" customFormat="1" ht="12" customHeight="1" thickBot="1" x14ac:dyDescent="0.25">
      <c r="A8" s="17" t="s">
        <v>9</v>
      </c>
      <c r="B8" s="18" t="s">
        <v>10</v>
      </c>
      <c r="C8" s="19" t="s">
        <v>11</v>
      </c>
      <c r="D8" s="19" t="s">
        <v>12</v>
      </c>
      <c r="E8" s="20"/>
      <c r="F8" s="20"/>
      <c r="G8" s="20"/>
      <c r="H8" s="21" t="s">
        <v>13</v>
      </c>
    </row>
    <row r="9" spans="1:11" s="29" customFormat="1" ht="12" customHeight="1" thickBot="1" x14ac:dyDescent="0.25">
      <c r="A9" s="23" t="s">
        <v>14</v>
      </c>
      <c r="B9" s="24" t="s">
        <v>15</v>
      </c>
      <c r="C9" s="19">
        <f>SUM(C10:C15)</f>
        <v>1170233686</v>
      </c>
      <c r="D9" s="19">
        <f>SUM(D10:D15)</f>
        <v>1324135065</v>
      </c>
      <c r="E9" s="25">
        <f>+E10+E11+E12+E13+E14+E15</f>
        <v>1133144785</v>
      </c>
      <c r="F9" s="26">
        <f>+F10+F11+F12+F13+F14+F15</f>
        <v>0</v>
      </c>
      <c r="G9" s="26">
        <f>+G10+G11+G12+G13+G14+G15</f>
        <v>0</v>
      </c>
      <c r="H9" s="27">
        <f>'[1]1.1.sz.mell. '!C11</f>
        <v>1425055633</v>
      </c>
      <c r="I9" s="28">
        <f>+I10+I11+I12+I13+I14+I15</f>
        <v>1460810310</v>
      </c>
      <c r="J9" s="27">
        <f>+J10+J11+J12+J13+J14+J15</f>
        <v>0</v>
      </c>
      <c r="K9" s="27">
        <f>+K10+K11+K12+K13+K14+K15</f>
        <v>0</v>
      </c>
    </row>
    <row r="10" spans="1:11" s="29" customFormat="1" ht="12" customHeight="1" x14ac:dyDescent="0.2">
      <c r="A10" s="30" t="s">
        <v>16</v>
      </c>
      <c r="B10" s="31" t="s">
        <v>17</v>
      </c>
      <c r="C10" s="32">
        <v>228389971</v>
      </c>
      <c r="D10" s="33">
        <v>218098142</v>
      </c>
      <c r="E10" s="34">
        <v>227512539</v>
      </c>
      <c r="F10" s="35"/>
      <c r="G10" s="35"/>
      <c r="H10" s="36">
        <f>'[1]1.1.sz.mell. '!C12</f>
        <v>229318994</v>
      </c>
      <c r="I10" s="37">
        <v>211161846</v>
      </c>
      <c r="J10" s="37"/>
      <c r="K10" s="37"/>
    </row>
    <row r="11" spans="1:11" s="29" customFormat="1" ht="12" customHeight="1" x14ac:dyDescent="0.2">
      <c r="A11" s="38" t="s">
        <v>18</v>
      </c>
      <c r="B11" s="39" t="s">
        <v>19</v>
      </c>
      <c r="C11" s="40">
        <v>227307468</v>
      </c>
      <c r="D11" s="41">
        <v>238466411</v>
      </c>
      <c r="E11" s="42">
        <v>218107294</v>
      </c>
      <c r="F11" s="43"/>
      <c r="G11" s="43"/>
      <c r="H11" s="44">
        <f>'[1]1.1.sz.mell. '!C13</f>
        <v>229603230</v>
      </c>
      <c r="I11" s="45">
        <v>235351616</v>
      </c>
      <c r="J11" s="45"/>
      <c r="K11" s="45"/>
    </row>
    <row r="12" spans="1:11" s="29" customFormat="1" ht="12" customHeight="1" x14ac:dyDescent="0.2">
      <c r="A12" s="38" t="s">
        <v>20</v>
      </c>
      <c r="B12" s="39" t="s">
        <v>21</v>
      </c>
      <c r="C12" s="40">
        <v>660574907</v>
      </c>
      <c r="D12" s="41">
        <v>784493453</v>
      </c>
      <c r="E12" s="42">
        <f>121200000+67844165+118423160+15562200+177597260+4526280+11511000+24250000+62625967</f>
        <v>603540032</v>
      </c>
      <c r="F12" s="43"/>
      <c r="G12" s="43"/>
      <c r="H12" s="44">
        <f>'[1]1.1.sz.mell. '!C14</f>
        <v>785215024</v>
      </c>
      <c r="I12" s="45">
        <f>132342947+82528441+152850000+191583306+50232560+61299400+1796961+73694436</f>
        <v>746328051</v>
      </c>
      <c r="J12" s="45"/>
      <c r="K12" s="45"/>
    </row>
    <row r="13" spans="1:11" s="29" customFormat="1" ht="12" customHeight="1" x14ac:dyDescent="0.2">
      <c r="A13" s="38" t="s">
        <v>22</v>
      </c>
      <c r="B13" s="39" t="s">
        <v>23</v>
      </c>
      <c r="C13" s="40">
        <v>34596226</v>
      </c>
      <c r="D13" s="41">
        <v>34753573</v>
      </c>
      <c r="E13" s="42">
        <f>4412740+15262320+10629000</f>
        <v>30304060</v>
      </c>
      <c r="F13" s="43"/>
      <c r="G13" s="43"/>
      <c r="H13" s="44">
        <f>'[1]1.1.sz.mell. '!C15</f>
        <v>20802409</v>
      </c>
      <c r="I13" s="45">
        <f>4617241+15998620+12622000</f>
        <v>33237861</v>
      </c>
      <c r="J13" s="45"/>
      <c r="K13" s="45"/>
    </row>
    <row r="14" spans="1:11" s="29" customFormat="1" ht="12" customHeight="1" x14ac:dyDescent="0.2">
      <c r="A14" s="38" t="s">
        <v>24</v>
      </c>
      <c r="B14" s="46" t="s">
        <v>25</v>
      </c>
      <c r="C14" s="40">
        <v>19365114</v>
      </c>
      <c r="D14" s="41">
        <v>48323486</v>
      </c>
      <c r="E14" s="42">
        <f>3551000+1060845+168707597+58000+128000-119824582</f>
        <v>53680860</v>
      </c>
      <c r="F14" s="43"/>
      <c r="G14" s="43"/>
      <c r="H14" s="44">
        <f>'[1]1.1.sz.mell. '!C16</f>
        <v>160115976</v>
      </c>
      <c r="I14" s="45">
        <f>29417493+205313443</f>
        <v>234730936</v>
      </c>
      <c r="J14" s="45"/>
      <c r="K14" s="45"/>
    </row>
    <row r="15" spans="1:11" s="29" customFormat="1" ht="12" customHeight="1" thickBot="1" x14ac:dyDescent="0.25">
      <c r="A15" s="47" t="s">
        <v>26</v>
      </c>
      <c r="B15" s="48" t="s">
        <v>27</v>
      </c>
      <c r="C15" s="49"/>
      <c r="D15" s="50"/>
      <c r="E15" s="51"/>
      <c r="F15" s="52"/>
      <c r="G15" s="52"/>
      <c r="H15" s="53">
        <f>'[1]1.1.sz.mell. '!C17</f>
        <v>0</v>
      </c>
      <c r="I15" s="54"/>
      <c r="J15" s="55"/>
      <c r="K15" s="55"/>
    </row>
    <row r="16" spans="1:11" s="29" customFormat="1" ht="12" customHeight="1" thickBot="1" x14ac:dyDescent="0.25">
      <c r="A16" s="23" t="s">
        <v>28</v>
      </c>
      <c r="B16" s="56" t="s">
        <v>29</v>
      </c>
      <c r="C16" s="57">
        <f>SUM(C17:C21)</f>
        <v>215496398</v>
      </c>
      <c r="D16" s="57">
        <f>SUM(D17:D21)</f>
        <v>185927249</v>
      </c>
      <c r="E16" s="25">
        <f>+E17+E18+E19+E20+E21</f>
        <v>-145452435</v>
      </c>
      <c r="F16" s="26">
        <f>+F17+F18+F19+F20+F21</f>
        <v>0</v>
      </c>
      <c r="G16" s="26">
        <f>+G17+G18+G19+G20+G21</f>
        <v>5485000</v>
      </c>
      <c r="H16" s="27">
        <f>'[1]1.1.sz.mell. '!C18</f>
        <v>340613687</v>
      </c>
      <c r="I16" s="28">
        <f>+I17+I18+I19+I20+I21</f>
        <v>203725813</v>
      </c>
      <c r="J16" s="27">
        <f>+J17+J18+J19+J20+J21</f>
        <v>0</v>
      </c>
      <c r="K16" s="27">
        <f>+K17+K18+K19+K20+K21</f>
        <v>22754943</v>
      </c>
    </row>
    <row r="17" spans="1:11" s="29" customFormat="1" ht="12" customHeight="1" x14ac:dyDescent="0.2">
      <c r="A17" s="30" t="s">
        <v>30</v>
      </c>
      <c r="B17" s="31" t="s">
        <v>31</v>
      </c>
      <c r="C17" s="40"/>
      <c r="D17" s="33"/>
      <c r="E17" s="58"/>
      <c r="F17" s="59"/>
      <c r="G17" s="59"/>
      <c r="H17" s="36">
        <f>'[1]1.1.sz.mell. '!C19</f>
        <v>0</v>
      </c>
      <c r="I17" s="60"/>
      <c r="J17" s="61"/>
      <c r="K17" s="61"/>
    </row>
    <row r="18" spans="1:11" s="29" customFormat="1" ht="12" customHeight="1" x14ac:dyDescent="0.2">
      <c r="A18" s="38" t="s">
        <v>32</v>
      </c>
      <c r="B18" s="39" t="s">
        <v>33</v>
      </c>
      <c r="C18" s="40"/>
      <c r="D18" s="41"/>
      <c r="E18" s="51"/>
      <c r="F18" s="52"/>
      <c r="G18" s="52"/>
      <c r="H18" s="44">
        <f>'[1]1.1.sz.mell. '!C20</f>
        <v>0</v>
      </c>
      <c r="I18" s="54"/>
      <c r="J18" s="55"/>
      <c r="K18" s="55"/>
    </row>
    <row r="19" spans="1:11" s="29" customFormat="1" ht="12" customHeight="1" x14ac:dyDescent="0.2">
      <c r="A19" s="38" t="s">
        <v>34</v>
      </c>
      <c r="B19" s="39" t="s">
        <v>35</v>
      </c>
      <c r="C19" s="40"/>
      <c r="D19" s="41"/>
      <c r="E19" s="51"/>
      <c r="F19" s="52"/>
      <c r="G19" s="52"/>
      <c r="H19" s="44">
        <f>'[1]1.1.sz.mell. '!C21</f>
        <v>0</v>
      </c>
      <c r="I19" s="54"/>
      <c r="J19" s="55"/>
      <c r="K19" s="55"/>
    </row>
    <row r="20" spans="1:11" s="29" customFormat="1" ht="12" customHeight="1" x14ac:dyDescent="0.2">
      <c r="A20" s="38" t="s">
        <v>36</v>
      </c>
      <c r="B20" s="39" t="s">
        <v>37</v>
      </c>
      <c r="C20" s="40"/>
      <c r="D20" s="41"/>
      <c r="E20" s="51"/>
      <c r="F20" s="52"/>
      <c r="G20" s="52"/>
      <c r="H20" s="44">
        <f>'[1]1.1.sz.mell. '!C22</f>
        <v>0</v>
      </c>
      <c r="I20" s="54"/>
      <c r="J20" s="55"/>
      <c r="K20" s="55"/>
    </row>
    <row r="21" spans="1:11" s="29" customFormat="1" ht="12" customHeight="1" x14ac:dyDescent="0.2">
      <c r="A21" s="38" t="s">
        <v>38</v>
      </c>
      <c r="B21" s="39" t="s">
        <v>39</v>
      </c>
      <c r="C21" s="40">
        <v>215496398</v>
      </c>
      <c r="D21" s="41">
        <v>185927249</v>
      </c>
      <c r="E21" s="42">
        <f>2285000+210000+110446000+65342000-323735435</f>
        <v>-145452435</v>
      </c>
      <c r="F21" s="43"/>
      <c r="G21" s="43">
        <v>5485000</v>
      </c>
      <c r="H21" s="44">
        <f>'[1]1.1.sz.mell. '!C23</f>
        <v>340613687</v>
      </c>
      <c r="I21" s="62">
        <f>102792540+24250000+3975280+5670000+67037993</f>
        <v>203725813</v>
      </c>
      <c r="J21" s="45"/>
      <c r="K21" s="45">
        <v>22754943</v>
      </c>
    </row>
    <row r="22" spans="1:11" s="29" customFormat="1" ht="12" customHeight="1" thickBot="1" x14ac:dyDescent="0.25">
      <c r="A22" s="47" t="s">
        <v>40</v>
      </c>
      <c r="B22" s="48" t="s">
        <v>41</v>
      </c>
      <c r="C22" s="49">
        <v>27120913</v>
      </c>
      <c r="D22" s="50">
        <f>44046085</f>
        <v>44046085</v>
      </c>
      <c r="E22" s="63"/>
      <c r="F22" s="64"/>
      <c r="G22" s="64"/>
      <c r="H22" s="53">
        <f>'[1]1.1.sz.mell. '!C24</f>
        <v>205568019</v>
      </c>
      <c r="I22" s="65">
        <f>67037993</f>
        <v>67037993</v>
      </c>
      <c r="J22" s="66"/>
      <c r="K22" s="66">
        <v>754943</v>
      </c>
    </row>
    <row r="23" spans="1:11" s="29" customFormat="1" ht="12" customHeight="1" thickBot="1" x14ac:dyDescent="0.25">
      <c r="A23" s="23" t="s">
        <v>42</v>
      </c>
      <c r="B23" s="67" t="s">
        <v>43</v>
      </c>
      <c r="C23" s="57">
        <f>SUM(C24:C28)</f>
        <v>27196638</v>
      </c>
      <c r="D23" s="57">
        <f>SUM(D24:D28)</f>
        <v>1026676989</v>
      </c>
      <c r="E23" s="25">
        <f>+E24+E25+E26+E27+E28</f>
        <v>-11381976</v>
      </c>
      <c r="F23" s="26">
        <f>+F24+F25+F26+F27+F28</f>
        <v>0</v>
      </c>
      <c r="G23" s="26">
        <f>+G24+G25+G26+G27+G28</f>
        <v>0</v>
      </c>
      <c r="H23" s="27">
        <f>'[1]1.1.sz.mell. '!C25</f>
        <v>47689834</v>
      </c>
      <c r="I23" s="28">
        <f>+I24+I25+I26+I27+I28</f>
        <v>82409566</v>
      </c>
      <c r="J23" s="27">
        <f>+J24+J25+J26+J27+J28</f>
        <v>0</v>
      </c>
      <c r="K23" s="27">
        <f>+K24+K25+K26+K27+K28</f>
        <v>0</v>
      </c>
    </row>
    <row r="24" spans="1:11" s="29" customFormat="1" ht="12" customHeight="1" x14ac:dyDescent="0.2">
      <c r="A24" s="30" t="s">
        <v>44</v>
      </c>
      <c r="B24" s="31" t="s">
        <v>45</v>
      </c>
      <c r="C24" s="40">
        <v>19753000</v>
      </c>
      <c r="D24" s="33">
        <v>370138900</v>
      </c>
      <c r="E24" s="68"/>
      <c r="F24" s="69"/>
      <c r="G24" s="69"/>
      <c r="H24" s="36">
        <f>'[1]1.1.sz.mell. '!C26</f>
        <v>0</v>
      </c>
      <c r="I24" s="70"/>
      <c r="J24" s="71"/>
      <c r="K24" s="71"/>
    </row>
    <row r="25" spans="1:11" s="29" customFormat="1" ht="12" customHeight="1" x14ac:dyDescent="0.2">
      <c r="A25" s="38" t="s">
        <v>46</v>
      </c>
      <c r="B25" s="39" t="s">
        <v>47</v>
      </c>
      <c r="C25" s="40"/>
      <c r="D25" s="72"/>
      <c r="E25" s="42"/>
      <c r="F25" s="43"/>
      <c r="G25" s="43"/>
      <c r="H25" s="73">
        <f>'[1]1.1.sz.mell. '!C27</f>
        <v>0</v>
      </c>
      <c r="I25" s="62"/>
      <c r="J25" s="45"/>
      <c r="K25" s="45"/>
    </row>
    <row r="26" spans="1:11" s="29" customFormat="1" ht="12" customHeight="1" x14ac:dyDescent="0.2">
      <c r="A26" s="38" t="s">
        <v>48</v>
      </c>
      <c r="B26" s="39" t="s">
        <v>49</v>
      </c>
      <c r="C26" s="40"/>
      <c r="D26" s="41"/>
      <c r="E26" s="42"/>
      <c r="F26" s="43"/>
      <c r="G26" s="43"/>
      <c r="H26" s="44">
        <f>'[1]1.1.sz.mell. '!C28</f>
        <v>0</v>
      </c>
      <c r="I26" s="62"/>
      <c r="J26" s="45"/>
      <c r="K26" s="45"/>
    </row>
    <row r="27" spans="1:11" s="29" customFormat="1" ht="12" customHeight="1" x14ac:dyDescent="0.2">
      <c r="A27" s="38" t="s">
        <v>50</v>
      </c>
      <c r="B27" s="39" t="s">
        <v>51</v>
      </c>
      <c r="C27" s="40"/>
      <c r="D27" s="41"/>
      <c r="E27" s="42"/>
      <c r="F27" s="43"/>
      <c r="G27" s="43"/>
      <c r="H27" s="44">
        <f>'[1]1.1.sz.mell. '!C29</f>
        <v>0</v>
      </c>
      <c r="I27" s="62"/>
      <c r="J27" s="45"/>
      <c r="K27" s="45"/>
    </row>
    <row r="28" spans="1:11" s="29" customFormat="1" ht="12" customHeight="1" x14ac:dyDescent="0.2">
      <c r="A28" s="38" t="s">
        <v>52</v>
      </c>
      <c r="B28" s="39" t="s">
        <v>53</v>
      </c>
      <c r="C28" s="40">
        <v>7443638</v>
      </c>
      <c r="D28" s="41">
        <v>656538089</v>
      </c>
      <c r="E28" s="42">
        <f>3797300-15179276</f>
        <v>-11381976</v>
      </c>
      <c r="F28" s="43"/>
      <c r="G28" s="43"/>
      <c r="H28" s="44">
        <f>'[1]1.1.sz.mell. '!C30</f>
        <v>47689834</v>
      </c>
      <c r="I28" s="62">
        <f>5596040+25377271+3487179+47949076</f>
        <v>82409566</v>
      </c>
      <c r="J28" s="45"/>
      <c r="K28" s="45"/>
    </row>
    <row r="29" spans="1:11" s="29" customFormat="1" ht="12" customHeight="1" thickBot="1" x14ac:dyDescent="0.25">
      <c r="A29" s="47" t="s">
        <v>54</v>
      </c>
      <c r="B29" s="74" t="s">
        <v>55</v>
      </c>
      <c r="C29" s="49">
        <v>3104638</v>
      </c>
      <c r="D29" s="50">
        <v>647953089</v>
      </c>
      <c r="E29" s="63">
        <v>3797300</v>
      </c>
      <c r="F29" s="64"/>
      <c r="G29" s="64"/>
      <c r="H29" s="53">
        <f>'[1]1.1.sz.mell. '!C31</f>
        <v>38069834</v>
      </c>
      <c r="I29" s="65">
        <f>5596040+25377271+3487179+47949076</f>
        <v>82409566</v>
      </c>
      <c r="J29" s="66"/>
      <c r="K29" s="66"/>
    </row>
    <row r="30" spans="1:11" s="29" customFormat="1" ht="12" customHeight="1" thickBot="1" x14ac:dyDescent="0.25">
      <c r="A30" s="23" t="s">
        <v>56</v>
      </c>
      <c r="B30" s="67" t="s">
        <v>57</v>
      </c>
      <c r="C30" s="57">
        <f>C31+C34+C35+C36+C37</f>
        <v>401728642</v>
      </c>
      <c r="D30" s="57">
        <f>D31+D34+D35+D36+D37</f>
        <v>470233739</v>
      </c>
      <c r="E30" s="75">
        <f>+E31+E35+E36+E37</f>
        <v>329390000</v>
      </c>
      <c r="F30" s="76">
        <f>+F31+F35+F36+F37</f>
        <v>0</v>
      </c>
      <c r="G30" s="76">
        <f>+G31+G35+G36+G37</f>
        <v>0</v>
      </c>
      <c r="H30" s="27">
        <f>'[1]1.1.sz.mell. '!C32</f>
        <v>538000000</v>
      </c>
      <c r="I30" s="77">
        <f>+I31+I35+I36+I37</f>
        <v>481500000</v>
      </c>
      <c r="J30" s="78">
        <f>+J31+J35+J36+J37</f>
        <v>0</v>
      </c>
      <c r="K30" s="78">
        <f>+K31+K35+K36+K37</f>
        <v>0</v>
      </c>
    </row>
    <row r="31" spans="1:11" s="29" customFormat="1" ht="12" customHeight="1" x14ac:dyDescent="0.2">
      <c r="A31" s="30" t="s">
        <v>58</v>
      </c>
      <c r="B31" s="31" t="s">
        <v>59</v>
      </c>
      <c r="C31" s="40">
        <f>SUM(C32:C33)</f>
        <v>361268804</v>
      </c>
      <c r="D31" s="40">
        <f>SUM(D32:D33)</f>
        <v>424778074</v>
      </c>
      <c r="E31" s="79">
        <f>SUM(E32:E34)</f>
        <v>292830000</v>
      </c>
      <c r="F31" s="80"/>
      <c r="G31" s="80"/>
      <c r="H31" s="36">
        <f>'[1]1.1.sz.mell. '!C33</f>
        <v>486000000</v>
      </c>
      <c r="I31" s="81">
        <f>SUM(I32:I33)</f>
        <v>430000000</v>
      </c>
      <c r="J31" s="81">
        <f t="shared" ref="J31:K31" si="0">SUM(J32:J33)</f>
        <v>0</v>
      </c>
      <c r="K31" s="81">
        <f t="shared" si="0"/>
        <v>0</v>
      </c>
    </row>
    <row r="32" spans="1:11" s="29" customFormat="1" ht="12" customHeight="1" x14ac:dyDescent="0.2">
      <c r="A32" s="38" t="s">
        <v>60</v>
      </c>
      <c r="B32" s="39" t="s">
        <v>61</v>
      </c>
      <c r="C32" s="40">
        <f>76659666</f>
        <v>76659666</v>
      </c>
      <c r="D32" s="41">
        <v>81767339</v>
      </c>
      <c r="E32" s="51">
        <f>8990000+70000000</f>
        <v>78990000</v>
      </c>
      <c r="F32" s="52"/>
      <c r="G32" s="52"/>
      <c r="H32" s="44">
        <f>'[1]1.1.sz.mell. '!C34</f>
        <v>86000000</v>
      </c>
      <c r="I32" s="54">
        <f>80000000+9000000</f>
        <v>89000000</v>
      </c>
      <c r="J32" s="55"/>
      <c r="K32" s="55"/>
    </row>
    <row r="33" spans="1:11" s="29" customFormat="1" ht="12" customHeight="1" x14ac:dyDescent="0.2">
      <c r="A33" s="38" t="s">
        <v>62</v>
      </c>
      <c r="B33" s="82" t="s">
        <v>63</v>
      </c>
      <c r="C33" s="40">
        <f>284609138</f>
        <v>284609138</v>
      </c>
      <c r="D33" s="41">
        <v>343010735</v>
      </c>
      <c r="E33" s="51">
        <f>203840000+10000000</f>
        <v>213840000</v>
      </c>
      <c r="F33" s="52"/>
      <c r="G33" s="52"/>
      <c r="H33" s="83">
        <f>'[1]1.1.sz.mell. '!C35</f>
        <v>400000000</v>
      </c>
      <c r="I33" s="54">
        <f>341000000</f>
        <v>341000000</v>
      </c>
      <c r="J33" s="55"/>
      <c r="K33" s="55"/>
    </row>
    <row r="34" spans="1:11" s="29" customFormat="1" ht="12" customHeight="1" x14ac:dyDescent="0.2">
      <c r="A34" s="38" t="s">
        <v>64</v>
      </c>
      <c r="B34" s="39" t="s">
        <v>65</v>
      </c>
      <c r="C34" s="40">
        <f>67510</f>
        <v>67510</v>
      </c>
      <c r="D34" s="41">
        <v>39072</v>
      </c>
      <c r="E34" s="42"/>
      <c r="F34" s="43"/>
      <c r="G34" s="43"/>
      <c r="H34" s="83">
        <f>'[1]1.1.sz.mell. '!C36</f>
        <v>0</v>
      </c>
      <c r="I34" s="62"/>
      <c r="J34" s="45"/>
      <c r="K34" s="45"/>
    </row>
    <row r="35" spans="1:11" s="29" customFormat="1" ht="12" customHeight="1" x14ac:dyDescent="0.2">
      <c r="A35" s="38" t="s">
        <v>66</v>
      </c>
      <c r="B35" s="39" t="s">
        <v>67</v>
      </c>
      <c r="C35" s="40">
        <v>30048092</v>
      </c>
      <c r="D35" s="41">
        <v>31727403</v>
      </c>
      <c r="E35" s="51">
        <f>27000000</f>
        <v>27000000</v>
      </c>
      <c r="F35" s="52"/>
      <c r="G35" s="52"/>
      <c r="H35" s="83">
        <f>'[1]1.1.sz.mell. '!C37</f>
        <v>35000000</v>
      </c>
      <c r="I35" s="54">
        <f>35000000</f>
        <v>35000000</v>
      </c>
      <c r="J35" s="55"/>
      <c r="K35" s="55"/>
    </row>
    <row r="36" spans="1:11" s="29" customFormat="1" ht="12" customHeight="1" x14ac:dyDescent="0.2">
      <c r="A36" s="38" t="s">
        <v>68</v>
      </c>
      <c r="B36" s="39" t="s">
        <v>69</v>
      </c>
      <c r="C36" s="40"/>
      <c r="D36" s="41">
        <v>158400</v>
      </c>
      <c r="E36" s="51">
        <v>4060000</v>
      </c>
      <c r="F36" s="52"/>
      <c r="G36" s="52"/>
      <c r="H36" s="83">
        <f>'[1]1.1.sz.mell. '!C38</f>
        <v>1000000</v>
      </c>
      <c r="I36" s="54"/>
      <c r="J36" s="55"/>
      <c r="K36" s="55"/>
    </row>
    <row r="37" spans="1:11" s="29" customFormat="1" ht="12" customHeight="1" thickBot="1" x14ac:dyDescent="0.25">
      <c r="A37" s="47" t="s">
        <v>70</v>
      </c>
      <c r="B37" s="74" t="s">
        <v>71</v>
      </c>
      <c r="C37" s="49">
        <v>10344236</v>
      </c>
      <c r="D37" s="50">
        <v>13530790</v>
      </c>
      <c r="E37" s="63">
        <v>5500000</v>
      </c>
      <c r="F37" s="64"/>
      <c r="G37" s="64"/>
      <c r="H37" s="53">
        <f>'[1]1.1.sz.mell. '!C39</f>
        <v>16000000</v>
      </c>
      <c r="I37" s="65">
        <f>6000000+4000000+2500000+500000+3500000</f>
        <v>16500000</v>
      </c>
      <c r="J37" s="66"/>
      <c r="K37" s="66"/>
    </row>
    <row r="38" spans="1:11" s="29" customFormat="1" ht="12" customHeight="1" thickBot="1" x14ac:dyDescent="0.25">
      <c r="A38" s="23" t="s">
        <v>72</v>
      </c>
      <c r="B38" s="67" t="s">
        <v>73</v>
      </c>
      <c r="C38" s="57">
        <f>SUM(C39:C49)</f>
        <v>393429144</v>
      </c>
      <c r="D38" s="57">
        <f>SUM(D39:D49)</f>
        <v>314593205</v>
      </c>
      <c r="E38" s="25">
        <f>SUM(E39:E49)</f>
        <v>54395907</v>
      </c>
      <c r="F38" s="26">
        <f>SUM(F39:F49)</f>
        <v>9416500</v>
      </c>
      <c r="G38" s="26">
        <f>SUM(G39:G49)</f>
        <v>385266178</v>
      </c>
      <c r="H38" s="27">
        <f>'[1]1.1.sz.mell. '!C40</f>
        <v>345277930</v>
      </c>
      <c r="I38" s="28">
        <f>SUM(I39:I49)</f>
        <v>64295778</v>
      </c>
      <c r="J38" s="27">
        <f>SUM(J39:J49)</f>
        <v>8150828</v>
      </c>
      <c r="K38" s="27">
        <f>SUM(K39:K49)</f>
        <v>266151972</v>
      </c>
    </row>
    <row r="39" spans="1:11" s="29" customFormat="1" ht="12" customHeight="1" x14ac:dyDescent="0.2">
      <c r="A39" s="30" t="s">
        <v>74</v>
      </c>
      <c r="B39" s="31" t="s">
        <v>75</v>
      </c>
      <c r="C39" s="40">
        <v>13719843</v>
      </c>
      <c r="D39" s="33">
        <v>8179095</v>
      </c>
      <c r="E39" s="34">
        <f>3937000+4000000+5000000-2941522</f>
        <v>9995478</v>
      </c>
      <c r="F39" s="35"/>
      <c r="G39" s="35">
        <v>150000</v>
      </c>
      <c r="H39" s="36">
        <f>'[1]1.1.sz.mell. '!C41</f>
        <v>8195576</v>
      </c>
      <c r="I39" s="70">
        <f>7385026+10000+10375680</f>
        <v>17770706</v>
      </c>
      <c r="J39" s="37"/>
      <c r="K39" s="37">
        <v>20000</v>
      </c>
    </row>
    <row r="40" spans="1:11" s="29" customFormat="1" ht="12" customHeight="1" x14ac:dyDescent="0.2">
      <c r="A40" s="38" t="s">
        <v>76</v>
      </c>
      <c r="B40" s="39" t="s">
        <v>77</v>
      </c>
      <c r="C40" s="40">
        <v>75708415</v>
      </c>
      <c r="D40" s="41">
        <v>77258808</v>
      </c>
      <c r="E40" s="42">
        <f>100000+12004000+160000+7128864</f>
        <v>19392864</v>
      </c>
      <c r="F40" s="43">
        <v>7533500</v>
      </c>
      <c r="G40" s="35">
        <v>68193838</v>
      </c>
      <c r="H40" s="44">
        <f>'[1]1.1.sz.mell. '!C42</f>
        <v>76669769</v>
      </c>
      <c r="I40" s="62">
        <f>15901900+787402+500000</f>
        <v>17189302</v>
      </c>
      <c r="J40" s="45">
        <f>4000000+1241400+372638</f>
        <v>5614038</v>
      </c>
      <c r="K40" s="37">
        <f>32107480+8820000+616000+13688512</f>
        <v>55231992</v>
      </c>
    </row>
    <row r="41" spans="1:11" s="29" customFormat="1" ht="12" customHeight="1" x14ac:dyDescent="0.2">
      <c r="A41" s="38" t="s">
        <v>78</v>
      </c>
      <c r="B41" s="39" t="s">
        <v>79</v>
      </c>
      <c r="C41" s="40">
        <v>70681986</v>
      </c>
      <c r="D41" s="41">
        <v>17781177</v>
      </c>
      <c r="E41" s="42">
        <f>8458000+947000</f>
        <v>9405000</v>
      </c>
      <c r="F41" s="43">
        <v>500000</v>
      </c>
      <c r="G41" s="35">
        <v>85718340</v>
      </c>
      <c r="H41" s="44">
        <f>'[1]1.1.sz.mell. '!C43</f>
        <v>27920669</v>
      </c>
      <c r="I41" s="62">
        <f>20000+6000000+700000+1000000+1109692</f>
        <v>8829692</v>
      </c>
      <c r="J41" s="45">
        <f>300000</f>
        <v>300000</v>
      </c>
      <c r="K41" s="37">
        <f>1586000+50000+4200000+12700000</f>
        <v>18536000</v>
      </c>
    </row>
    <row r="42" spans="1:11" s="29" customFormat="1" ht="12" customHeight="1" x14ac:dyDescent="0.2">
      <c r="A42" s="38" t="s">
        <v>80</v>
      </c>
      <c r="B42" s="39" t="s">
        <v>81</v>
      </c>
      <c r="C42" s="40">
        <v>671293</v>
      </c>
      <c r="D42" s="41">
        <v>965935</v>
      </c>
      <c r="E42" s="42">
        <f>430000</f>
        <v>430000</v>
      </c>
      <c r="F42" s="43"/>
      <c r="G42" s="35"/>
      <c r="H42" s="44">
        <f>'[1]1.1.sz.mell. '!C44</f>
        <v>1006560</v>
      </c>
      <c r="I42" s="62">
        <f>440000+300000</f>
        <v>740000</v>
      </c>
      <c r="J42" s="45"/>
      <c r="K42" s="37"/>
    </row>
    <row r="43" spans="1:11" s="29" customFormat="1" ht="12" customHeight="1" x14ac:dyDescent="0.2">
      <c r="A43" s="38" t="s">
        <v>82</v>
      </c>
      <c r="B43" s="39" t="s">
        <v>83</v>
      </c>
      <c r="C43" s="40">
        <v>168360806</v>
      </c>
      <c r="D43" s="41">
        <v>175322036</v>
      </c>
      <c r="E43" s="42"/>
      <c r="F43" s="43"/>
      <c r="G43" s="35">
        <f>182811402-4572000</f>
        <v>178239402</v>
      </c>
      <c r="H43" s="44">
        <f>'[1]1.1.sz.mell. '!C45</f>
        <v>196813506</v>
      </c>
      <c r="I43" s="62"/>
      <c r="J43" s="45"/>
      <c r="K43" s="37">
        <f>17535396+708995+862330+152500000</f>
        <v>171606721</v>
      </c>
    </row>
    <row r="44" spans="1:11" s="29" customFormat="1" ht="12" customHeight="1" x14ac:dyDescent="0.2">
      <c r="A44" s="38" t="s">
        <v>84</v>
      </c>
      <c r="B44" s="39" t="s">
        <v>85</v>
      </c>
      <c r="C44" s="40">
        <v>34776685</v>
      </c>
      <c r="D44" s="41">
        <v>21427421</v>
      </c>
      <c r="E44" s="42">
        <f>1063000+3242000+5853000+44000+378000+600000+1350000+1408565</f>
        <v>13938565</v>
      </c>
      <c r="F44" s="43">
        <v>1283000</v>
      </c>
      <c r="G44" s="35">
        <v>31920598</v>
      </c>
      <c r="H44" s="44">
        <f>'[1]1.1.sz.mell. '!C46</f>
        <v>23568249</v>
      </c>
      <c r="I44" s="62">
        <f>5400+1993957+12052638+212598+189000+2801434+333450+135000</f>
        <v>17723477</v>
      </c>
      <c r="J44" s="45">
        <f>1161000+335178+100612</f>
        <v>1596790</v>
      </c>
      <c r="K44" s="37">
        <f>4914377+191429+869400+1533149+4814904</f>
        <v>12323259</v>
      </c>
    </row>
    <row r="45" spans="1:11" s="29" customFormat="1" ht="12" customHeight="1" x14ac:dyDescent="0.2">
      <c r="A45" s="38" t="s">
        <v>86</v>
      </c>
      <c r="B45" s="39" t="s">
        <v>87</v>
      </c>
      <c r="C45" s="40">
        <v>17251000</v>
      </c>
      <c r="D45" s="41">
        <v>7222000</v>
      </c>
      <c r="E45" s="42"/>
      <c r="F45" s="43"/>
      <c r="G45" s="35">
        <v>21034000</v>
      </c>
      <c r="H45" s="44">
        <f>'[1]1.1.sz.mell. '!C47</f>
        <v>8775000</v>
      </c>
      <c r="I45" s="62"/>
      <c r="J45" s="45"/>
      <c r="K45" s="37">
        <f>7614000+650000+169000</f>
        <v>8433000</v>
      </c>
    </row>
    <row r="46" spans="1:11" s="29" customFormat="1" ht="12" customHeight="1" x14ac:dyDescent="0.2">
      <c r="A46" s="38" t="s">
        <v>88</v>
      </c>
      <c r="B46" s="39" t="s">
        <v>89</v>
      </c>
      <c r="C46" s="40">
        <v>603</v>
      </c>
      <c r="D46" s="41">
        <v>167</v>
      </c>
      <c r="E46" s="42">
        <v>30000</v>
      </c>
      <c r="F46" s="43"/>
      <c r="G46" s="35">
        <v>10000</v>
      </c>
      <c r="H46" s="44">
        <f>'[1]1.1.sz.mell. '!C48</f>
        <v>0</v>
      </c>
      <c r="I46" s="62"/>
      <c r="J46" s="45"/>
      <c r="K46" s="37"/>
    </row>
    <row r="47" spans="1:11" s="29" customFormat="1" ht="12" customHeight="1" x14ac:dyDescent="0.2">
      <c r="A47" s="38" t="s">
        <v>90</v>
      </c>
      <c r="B47" s="39" t="s">
        <v>91</v>
      </c>
      <c r="C47" s="40"/>
      <c r="D47" s="41"/>
      <c r="E47" s="42"/>
      <c r="F47" s="43"/>
      <c r="G47" s="35"/>
      <c r="H47" s="44">
        <f>'[1]1.1.sz.mell. '!C49</f>
        <v>0</v>
      </c>
      <c r="I47" s="62"/>
      <c r="J47" s="45"/>
      <c r="K47" s="37"/>
    </row>
    <row r="48" spans="1:11" s="29" customFormat="1" ht="12" customHeight="1" x14ac:dyDescent="0.2">
      <c r="A48" s="47" t="s">
        <v>92</v>
      </c>
      <c r="B48" s="74" t="s">
        <v>93</v>
      </c>
      <c r="C48" s="40">
        <v>194740</v>
      </c>
      <c r="D48" s="41">
        <v>1209667</v>
      </c>
      <c r="E48" s="63">
        <f>500000</f>
        <v>500000</v>
      </c>
      <c r="F48" s="64"/>
      <c r="G48" s="35"/>
      <c r="H48" s="44">
        <f>'[1]1.1.sz.mell. '!C50</f>
        <v>1000000</v>
      </c>
      <c r="I48" s="65">
        <f>500000</f>
        <v>500000</v>
      </c>
      <c r="J48" s="66"/>
      <c r="K48" s="37"/>
    </row>
    <row r="49" spans="1:11" s="29" customFormat="1" ht="12" customHeight="1" thickBot="1" x14ac:dyDescent="0.25">
      <c r="A49" s="47" t="s">
        <v>94</v>
      </c>
      <c r="B49" s="48" t="s">
        <v>95</v>
      </c>
      <c r="C49" s="49">
        <v>12063773</v>
      </c>
      <c r="D49" s="50">
        <v>5226899</v>
      </c>
      <c r="E49" s="63">
        <f>704000</f>
        <v>704000</v>
      </c>
      <c r="F49" s="64">
        <v>100000</v>
      </c>
      <c r="G49" s="35"/>
      <c r="H49" s="53">
        <f>'[1]1.1.sz.mell. '!C51</f>
        <v>1328601</v>
      </c>
      <c r="I49" s="65">
        <f>507601+335000+700000</f>
        <v>1542601</v>
      </c>
      <c r="J49" s="66">
        <f>640000</f>
        <v>640000</v>
      </c>
      <c r="K49" s="37">
        <v>1000</v>
      </c>
    </row>
    <row r="50" spans="1:11" s="29" customFormat="1" ht="12" customHeight="1" thickBot="1" x14ac:dyDescent="0.25">
      <c r="A50" s="23" t="s">
        <v>96</v>
      </c>
      <c r="B50" s="67" t="s">
        <v>97</v>
      </c>
      <c r="C50" s="57">
        <f>SUM(C51:C55)</f>
        <v>9600404</v>
      </c>
      <c r="D50" s="57">
        <f>SUM(D51:D55)</f>
        <v>5525134</v>
      </c>
      <c r="E50" s="25">
        <f>SUM(E51:E55)</f>
        <v>25179000</v>
      </c>
      <c r="F50" s="26">
        <f>SUM(F51:F55)</f>
        <v>0</v>
      </c>
      <c r="G50" s="26">
        <f>SUM(G51:G55)</f>
        <v>0</v>
      </c>
      <c r="H50" s="27">
        <f>'[1]1.1.sz.mell. '!C52</f>
        <v>44604508</v>
      </c>
      <c r="I50" s="28">
        <f>SUM(I51:I55)</f>
        <v>21787500</v>
      </c>
      <c r="J50" s="27">
        <f>SUM(J51:J55)</f>
        <v>300000</v>
      </c>
      <c r="K50" s="27">
        <f>SUM(K51:K55)</f>
        <v>0</v>
      </c>
    </row>
    <row r="51" spans="1:11" s="29" customFormat="1" ht="12" customHeight="1" x14ac:dyDescent="0.2">
      <c r="A51" s="30" t="s">
        <v>98</v>
      </c>
      <c r="B51" s="31" t="s">
        <v>99</v>
      </c>
      <c r="C51" s="40"/>
      <c r="D51" s="84"/>
      <c r="E51" s="34"/>
      <c r="F51" s="35"/>
      <c r="G51" s="35"/>
      <c r="H51" s="85">
        <f>'[1]1.1.sz.mell. '!C53</f>
        <v>0</v>
      </c>
      <c r="I51" s="70"/>
      <c r="J51" s="37"/>
      <c r="K51" s="37"/>
    </row>
    <row r="52" spans="1:11" s="29" customFormat="1" ht="12" customHeight="1" x14ac:dyDescent="0.2">
      <c r="A52" s="38" t="s">
        <v>100</v>
      </c>
      <c r="B52" s="39" t="s">
        <v>101</v>
      </c>
      <c r="C52" s="40">
        <v>9581550</v>
      </c>
      <c r="D52" s="41">
        <v>5202984</v>
      </c>
      <c r="E52" s="42">
        <f>25179000</f>
        <v>25179000</v>
      </c>
      <c r="F52" s="43"/>
      <c r="G52" s="43"/>
      <c r="H52" s="44">
        <f>'[1]1.1.sz.mell. '!C54</f>
        <v>44304508</v>
      </c>
      <c r="I52" s="62">
        <f>21787500</f>
        <v>21787500</v>
      </c>
      <c r="J52" s="45"/>
      <c r="K52" s="45"/>
    </row>
    <row r="53" spans="1:11" s="29" customFormat="1" ht="12" customHeight="1" x14ac:dyDescent="0.2">
      <c r="A53" s="38" t="s">
        <v>102</v>
      </c>
      <c r="B53" s="39" t="s">
        <v>103</v>
      </c>
      <c r="C53" s="40">
        <v>18854</v>
      </c>
      <c r="D53" s="41">
        <v>177050</v>
      </c>
      <c r="E53" s="42"/>
      <c r="F53" s="43"/>
      <c r="G53" s="43"/>
      <c r="H53" s="44">
        <f>'[1]1.1.sz.mell. '!C55</f>
        <v>300000</v>
      </c>
      <c r="I53" s="62"/>
      <c r="J53" s="45">
        <f>300000</f>
        <v>300000</v>
      </c>
      <c r="K53" s="45"/>
    </row>
    <row r="54" spans="1:11" s="29" customFormat="1" ht="12" customHeight="1" x14ac:dyDescent="0.2">
      <c r="A54" s="38" t="s">
        <v>104</v>
      </c>
      <c r="B54" s="39" t="s">
        <v>105</v>
      </c>
      <c r="C54" s="40"/>
      <c r="D54" s="41"/>
      <c r="E54" s="42"/>
      <c r="F54" s="43"/>
      <c r="G54" s="43"/>
      <c r="H54" s="44">
        <f>'[1]1.1.sz.mell. '!C56</f>
        <v>0</v>
      </c>
      <c r="I54" s="62"/>
      <c r="J54" s="45"/>
      <c r="K54" s="45"/>
    </row>
    <row r="55" spans="1:11" s="29" customFormat="1" ht="12" customHeight="1" thickBot="1" x14ac:dyDescent="0.25">
      <c r="A55" s="47" t="s">
        <v>106</v>
      </c>
      <c r="B55" s="48" t="s">
        <v>107</v>
      </c>
      <c r="C55" s="49"/>
      <c r="D55" s="50">
        <v>145100</v>
      </c>
      <c r="E55" s="63"/>
      <c r="F55" s="64"/>
      <c r="G55" s="64"/>
      <c r="H55" s="86">
        <f>'[1]1.1.sz.mell. '!C57</f>
        <v>0</v>
      </c>
      <c r="I55" s="65"/>
      <c r="J55" s="66"/>
      <c r="K55" s="66"/>
    </row>
    <row r="56" spans="1:11" s="29" customFormat="1" ht="12" customHeight="1" thickBot="1" x14ac:dyDescent="0.25">
      <c r="A56" s="23" t="s">
        <v>108</v>
      </c>
      <c r="B56" s="67" t="s">
        <v>109</v>
      </c>
      <c r="C56" s="57">
        <f>SUM(C57:C59)</f>
        <v>4421313</v>
      </c>
      <c r="D56" s="57">
        <f>SUM(D57:D59)</f>
        <v>18124157</v>
      </c>
      <c r="E56" s="25">
        <f>SUM(E57:E59)</f>
        <v>6164433</v>
      </c>
      <c r="F56" s="26">
        <f>SUM(F57:F59)</f>
        <v>0</v>
      </c>
      <c r="G56" s="26">
        <f>SUM(G57:G59)</f>
        <v>0</v>
      </c>
      <c r="H56" s="87">
        <f>'[1]1.1.sz.mell. '!C58</f>
        <v>2175000</v>
      </c>
      <c r="I56" s="28">
        <f>SUM(I57:I59)</f>
        <v>1430000</v>
      </c>
      <c r="J56" s="27">
        <f>SUM(J57:J59)</f>
        <v>0</v>
      </c>
      <c r="K56" s="27">
        <f>SUM(K57:K59)</f>
        <v>0</v>
      </c>
    </row>
    <row r="57" spans="1:11" s="29" customFormat="1" ht="12" customHeight="1" x14ac:dyDescent="0.2">
      <c r="A57" s="30" t="s">
        <v>110</v>
      </c>
      <c r="B57" s="31" t="s">
        <v>111</v>
      </c>
      <c r="C57" s="40"/>
      <c r="D57" s="88"/>
      <c r="E57" s="58"/>
      <c r="F57" s="59"/>
      <c r="G57" s="59"/>
      <c r="H57" s="89">
        <f>'[1]1.1.sz.mell. '!C59</f>
        <v>0</v>
      </c>
      <c r="I57" s="60"/>
      <c r="J57" s="61"/>
      <c r="K57" s="61"/>
    </row>
    <row r="58" spans="1:11" s="29" customFormat="1" ht="12" customHeight="1" x14ac:dyDescent="0.2">
      <c r="A58" s="38" t="s">
        <v>112</v>
      </c>
      <c r="B58" s="39" t="s">
        <v>113</v>
      </c>
      <c r="C58" s="40">
        <v>2079965</v>
      </c>
      <c r="D58" s="41">
        <v>15332864</v>
      </c>
      <c r="E58" s="42">
        <f>383000+1566000</f>
        <v>1949000</v>
      </c>
      <c r="F58" s="43"/>
      <c r="G58" s="43"/>
      <c r="H58" s="44">
        <f>'[1]1.1.sz.mell. '!C60</f>
        <v>600000</v>
      </c>
      <c r="I58" s="62">
        <f>480000</f>
        <v>480000</v>
      </c>
      <c r="J58" s="45"/>
      <c r="K58" s="45"/>
    </row>
    <row r="59" spans="1:11" s="29" customFormat="1" ht="12" customHeight="1" x14ac:dyDescent="0.2">
      <c r="A59" s="38" t="s">
        <v>114</v>
      </c>
      <c r="B59" s="39" t="s">
        <v>115</v>
      </c>
      <c r="C59" s="40">
        <v>2341348</v>
      </c>
      <c r="D59" s="41">
        <v>2791293</v>
      </c>
      <c r="E59" s="42">
        <f>4075000+140433</f>
        <v>4215433</v>
      </c>
      <c r="F59" s="43"/>
      <c r="G59" s="43"/>
      <c r="H59" s="44">
        <f>'[1]1.1.sz.mell. '!C61</f>
        <v>1575000</v>
      </c>
      <c r="I59" s="62">
        <f>950000</f>
        <v>950000</v>
      </c>
      <c r="J59" s="45"/>
      <c r="K59" s="45"/>
    </row>
    <row r="60" spans="1:11" s="29" customFormat="1" ht="12" customHeight="1" thickBot="1" x14ac:dyDescent="0.25">
      <c r="A60" s="47" t="s">
        <v>116</v>
      </c>
      <c r="B60" s="48" t="s">
        <v>117</v>
      </c>
      <c r="C60" s="49"/>
      <c r="D60" s="50"/>
      <c r="E60" s="90"/>
      <c r="F60" s="91"/>
      <c r="G60" s="91"/>
      <c r="H60" s="53">
        <f>'[1]1.1.sz.mell. '!C62</f>
        <v>0</v>
      </c>
      <c r="I60" s="92"/>
      <c r="J60" s="93"/>
      <c r="K60" s="93"/>
    </row>
    <row r="61" spans="1:11" s="29" customFormat="1" ht="12" customHeight="1" thickBot="1" x14ac:dyDescent="0.25">
      <c r="A61" s="23" t="s">
        <v>118</v>
      </c>
      <c r="B61" s="56" t="s">
        <v>119</v>
      </c>
      <c r="C61" s="57">
        <f>SUM(C62:C64)</f>
        <v>20000</v>
      </c>
      <c r="D61" s="57">
        <f>SUM(D62:D64)</f>
        <v>0</v>
      </c>
      <c r="E61" s="25">
        <f>SUM(E62:E64)</f>
        <v>0</v>
      </c>
      <c r="F61" s="26">
        <f>SUM(F62:F64)</f>
        <v>0</v>
      </c>
      <c r="G61" s="26">
        <f>SUM(G62:G64)</f>
        <v>0</v>
      </c>
      <c r="H61" s="27">
        <f>'[1]1.1.sz.mell. '!C63</f>
        <v>0</v>
      </c>
      <c r="I61" s="28">
        <f>SUM(I62:I64)</f>
        <v>0</v>
      </c>
      <c r="J61" s="27">
        <f>SUM(J62:J64)</f>
        <v>0</v>
      </c>
      <c r="K61" s="27">
        <f>SUM(K62:K64)</f>
        <v>0</v>
      </c>
    </row>
    <row r="62" spans="1:11" s="29" customFormat="1" ht="12" customHeight="1" x14ac:dyDescent="0.2">
      <c r="A62" s="30" t="s">
        <v>120</v>
      </c>
      <c r="B62" s="31" t="s">
        <v>121</v>
      </c>
      <c r="C62" s="40"/>
      <c r="D62" s="84"/>
      <c r="E62" s="42"/>
      <c r="F62" s="43"/>
      <c r="G62" s="43"/>
      <c r="H62" s="85">
        <f>'[1]1.1.sz.mell. '!C64</f>
        <v>0</v>
      </c>
      <c r="I62" s="62"/>
      <c r="J62" s="45"/>
      <c r="K62" s="45"/>
    </row>
    <row r="63" spans="1:11" s="29" customFormat="1" ht="12" customHeight="1" x14ac:dyDescent="0.2">
      <c r="A63" s="38" t="s">
        <v>122</v>
      </c>
      <c r="B63" s="39" t="s">
        <v>123</v>
      </c>
      <c r="C63" s="40"/>
      <c r="D63" s="72"/>
      <c r="E63" s="42"/>
      <c r="F63" s="43"/>
      <c r="G63" s="43"/>
      <c r="H63" s="73">
        <f>'[1]1.1.sz.mell. '!C65</f>
        <v>0</v>
      </c>
      <c r="I63" s="62"/>
      <c r="J63" s="45"/>
      <c r="K63" s="45"/>
    </row>
    <row r="64" spans="1:11" s="29" customFormat="1" ht="12" customHeight="1" x14ac:dyDescent="0.2">
      <c r="A64" s="38" t="s">
        <v>124</v>
      </c>
      <c r="B64" s="39" t="s">
        <v>125</v>
      </c>
      <c r="C64" s="40">
        <v>20000</v>
      </c>
      <c r="D64" s="72"/>
      <c r="E64" s="42"/>
      <c r="F64" s="43"/>
      <c r="G64" s="43"/>
      <c r="H64" s="73">
        <f>'[1]1.1.sz.mell. '!C66</f>
        <v>0</v>
      </c>
      <c r="I64" s="62"/>
      <c r="J64" s="45"/>
      <c r="K64" s="45"/>
    </row>
    <row r="65" spans="1:11" s="29" customFormat="1" ht="12" customHeight="1" thickBot="1" x14ac:dyDescent="0.25">
      <c r="A65" s="47" t="s">
        <v>126</v>
      </c>
      <c r="B65" s="48" t="s">
        <v>127</v>
      </c>
      <c r="C65" s="49"/>
      <c r="D65" s="94"/>
      <c r="E65" s="42"/>
      <c r="F65" s="43"/>
      <c r="G65" s="43"/>
      <c r="H65" s="86">
        <f>'[1]1.1.sz.mell. '!C67</f>
        <v>0</v>
      </c>
      <c r="I65" s="62"/>
      <c r="J65" s="45"/>
      <c r="K65" s="45"/>
    </row>
    <row r="66" spans="1:11" s="29" customFormat="1" ht="12" customHeight="1" thickBot="1" x14ac:dyDescent="0.25">
      <c r="A66" s="95" t="s">
        <v>128</v>
      </c>
      <c r="B66" s="67" t="s">
        <v>129</v>
      </c>
      <c r="C66" s="96">
        <f>C9+C16+C23+C30+C38+C50+C56+C61</f>
        <v>2222126225</v>
      </c>
      <c r="D66" s="96">
        <f>D9+D16+D23+D30+D38+D50+D56+D61</f>
        <v>3345215538</v>
      </c>
      <c r="E66" s="75">
        <f>+E9+E16+E23+E30+E38+E50+E56+E61</f>
        <v>1391439714</v>
      </c>
      <c r="F66" s="76">
        <f>+F9+F16+F23+F30+F38+F50+F56+F61</f>
        <v>9416500</v>
      </c>
      <c r="G66" s="76">
        <f>+G9+G16+G23+G30+G38+G50+G56+G61</f>
        <v>390751178</v>
      </c>
      <c r="H66" s="27">
        <f>'[1]1.1.sz.mell. '!C68</f>
        <v>2743416592</v>
      </c>
      <c r="I66" s="77">
        <f>+I9+I16+I23+I30+I38+I50+I56+I61</f>
        <v>2315958967</v>
      </c>
      <c r="J66" s="78">
        <f>+J9+J16+J23+J30+J38+J50+J56+J61</f>
        <v>8450828</v>
      </c>
      <c r="K66" s="78">
        <f>+K9+K16+K23+K30+K38+K50+K56+K61</f>
        <v>288906915</v>
      </c>
    </row>
    <row r="67" spans="1:11" s="29" customFormat="1" ht="12" customHeight="1" thickBot="1" x14ac:dyDescent="0.25">
      <c r="A67" s="97" t="s">
        <v>130</v>
      </c>
      <c r="B67" s="56" t="s">
        <v>131</v>
      </c>
      <c r="C67" s="96">
        <f>SUM(C68:C70)</f>
        <v>63319557</v>
      </c>
      <c r="D67" s="96">
        <f>SUM(D68:D70)</f>
        <v>30020437</v>
      </c>
      <c r="E67" s="25">
        <f>SUM(E68:E70)</f>
        <v>144100000</v>
      </c>
      <c r="F67" s="26">
        <f>SUM(F68:F70)</f>
        <v>0</v>
      </c>
      <c r="G67" s="26">
        <f>SUM(G68:G70)</f>
        <v>0</v>
      </c>
      <c r="H67" s="27">
        <f>'[1]1.1.sz.mell. '!C69</f>
        <v>742411899</v>
      </c>
      <c r="I67" s="28">
        <f>SUM(I68:I70)</f>
        <v>169269106</v>
      </c>
      <c r="J67" s="27">
        <f>SUM(J68:J70)</f>
        <v>0</v>
      </c>
      <c r="K67" s="27">
        <f>SUM(K68:K70)</f>
        <v>0</v>
      </c>
    </row>
    <row r="68" spans="1:11" s="29" customFormat="1" ht="12" customHeight="1" x14ac:dyDescent="0.2">
      <c r="A68" s="30" t="s">
        <v>132</v>
      </c>
      <c r="B68" s="31" t="s">
        <v>133</v>
      </c>
      <c r="C68" s="40">
        <v>63319557</v>
      </c>
      <c r="D68" s="33">
        <v>30020437</v>
      </c>
      <c r="E68" s="42">
        <v>44100000</v>
      </c>
      <c r="F68" s="43"/>
      <c r="G68" s="43"/>
      <c r="H68" s="36">
        <f>'[1]1.1.sz.mell. '!C70</f>
        <v>42411899</v>
      </c>
      <c r="I68" s="62">
        <f>69269106</f>
        <v>69269106</v>
      </c>
      <c r="J68" s="45"/>
      <c r="K68" s="45"/>
    </row>
    <row r="69" spans="1:11" s="29" customFormat="1" ht="12" customHeight="1" x14ac:dyDescent="0.2">
      <c r="A69" s="38" t="s">
        <v>134</v>
      </c>
      <c r="B69" s="39" t="s">
        <v>135</v>
      </c>
      <c r="C69" s="40"/>
      <c r="D69" s="41"/>
      <c r="E69" s="42">
        <v>100000000</v>
      </c>
      <c r="F69" s="43"/>
      <c r="G69" s="43"/>
      <c r="H69" s="44">
        <f>'[1]1.1.sz.mell. '!C71</f>
        <v>700000000</v>
      </c>
      <c r="I69" s="62">
        <v>100000000</v>
      </c>
      <c r="J69" s="45"/>
      <c r="K69" s="45"/>
    </row>
    <row r="70" spans="1:11" s="29" customFormat="1" ht="12" customHeight="1" thickBot="1" x14ac:dyDescent="0.25">
      <c r="A70" s="47" t="s">
        <v>136</v>
      </c>
      <c r="B70" s="98" t="s">
        <v>137</v>
      </c>
      <c r="C70" s="49"/>
      <c r="D70" s="94"/>
      <c r="E70" s="42"/>
      <c r="F70" s="43"/>
      <c r="G70" s="43"/>
      <c r="H70" s="86">
        <f>'[1]1.1.sz.mell. '!C72</f>
        <v>0</v>
      </c>
      <c r="I70" s="62"/>
      <c r="J70" s="45"/>
      <c r="K70" s="45"/>
    </row>
    <row r="71" spans="1:11" s="29" customFormat="1" ht="12" customHeight="1" thickBot="1" x14ac:dyDescent="0.25">
      <c r="A71" s="97" t="s">
        <v>138</v>
      </c>
      <c r="B71" s="56" t="s">
        <v>139</v>
      </c>
      <c r="C71" s="99">
        <f>SUM(C72:C75)</f>
        <v>0</v>
      </c>
      <c r="D71" s="99">
        <f>SUM(D72:D75)</f>
        <v>0</v>
      </c>
      <c r="E71" s="25">
        <f>SUM(E72:E75)</f>
        <v>0</v>
      </c>
      <c r="F71" s="26">
        <f>SUM(F72:F75)</f>
        <v>0</v>
      </c>
      <c r="G71" s="26">
        <f>SUM(G72:G75)</f>
        <v>0</v>
      </c>
      <c r="H71" s="27">
        <f>'[1]1.1.sz.mell. '!C73</f>
        <v>0</v>
      </c>
      <c r="I71" s="28">
        <f>SUM(I72:I75)</f>
        <v>0</v>
      </c>
      <c r="J71" s="27">
        <f>SUM(J72:J75)</f>
        <v>0</v>
      </c>
      <c r="K71" s="27">
        <f>SUM(K72:K75)</f>
        <v>0</v>
      </c>
    </row>
    <row r="72" spans="1:11" s="29" customFormat="1" ht="12" customHeight="1" x14ac:dyDescent="0.2">
      <c r="A72" s="30" t="s">
        <v>140</v>
      </c>
      <c r="B72" s="31" t="s">
        <v>141</v>
      </c>
      <c r="C72" s="40"/>
      <c r="D72" s="84"/>
      <c r="E72" s="42"/>
      <c r="F72" s="43"/>
      <c r="G72" s="43"/>
      <c r="H72" s="85">
        <f>'[1]1.1.sz.mell. '!C74</f>
        <v>0</v>
      </c>
      <c r="I72" s="62"/>
      <c r="J72" s="45"/>
      <c r="K72" s="45"/>
    </row>
    <row r="73" spans="1:11" s="29" customFormat="1" ht="17.25" customHeight="1" x14ac:dyDescent="0.2">
      <c r="A73" s="38" t="s">
        <v>142</v>
      </c>
      <c r="B73" s="39" t="s">
        <v>143</v>
      </c>
      <c r="C73" s="40"/>
      <c r="D73" s="72"/>
      <c r="E73" s="42"/>
      <c r="F73" s="43"/>
      <c r="G73" s="43"/>
      <c r="H73" s="73">
        <f>'[1]1.1.sz.mell. '!C75</f>
        <v>0</v>
      </c>
      <c r="I73" s="62"/>
      <c r="J73" s="45"/>
      <c r="K73" s="45"/>
    </row>
    <row r="74" spans="1:11" s="29" customFormat="1" ht="12" customHeight="1" x14ac:dyDescent="0.2">
      <c r="A74" s="38" t="s">
        <v>144</v>
      </c>
      <c r="B74" s="39" t="s">
        <v>145</v>
      </c>
      <c r="C74" s="40"/>
      <c r="D74" s="72"/>
      <c r="E74" s="42"/>
      <c r="F74" s="43"/>
      <c r="G74" s="43"/>
      <c r="H74" s="73">
        <f>'[1]1.1.sz.mell. '!C76</f>
        <v>0</v>
      </c>
      <c r="I74" s="62"/>
      <c r="J74" s="45"/>
      <c r="K74" s="45"/>
    </row>
    <row r="75" spans="1:11" s="29" customFormat="1" ht="12" customHeight="1" thickBot="1" x14ac:dyDescent="0.25">
      <c r="A75" s="47" t="s">
        <v>146</v>
      </c>
      <c r="B75" s="48" t="s">
        <v>147</v>
      </c>
      <c r="C75" s="49"/>
      <c r="D75" s="94"/>
      <c r="E75" s="42"/>
      <c r="F75" s="43"/>
      <c r="G75" s="43"/>
      <c r="H75" s="86">
        <f>'[1]1.1.sz.mell. '!C77</f>
        <v>0</v>
      </c>
      <c r="I75" s="62"/>
      <c r="J75" s="45"/>
      <c r="K75" s="45"/>
    </row>
    <row r="76" spans="1:11" s="29" customFormat="1" ht="12" customHeight="1" thickBot="1" x14ac:dyDescent="0.25">
      <c r="A76" s="97" t="s">
        <v>148</v>
      </c>
      <c r="B76" s="56" t="s">
        <v>149</v>
      </c>
      <c r="C76" s="96">
        <f>SUM(C77:C78)</f>
        <v>620677200</v>
      </c>
      <c r="D76" s="96">
        <f>SUM(D77:D78)</f>
        <v>367267935</v>
      </c>
      <c r="E76" s="25">
        <f>SUM(E77:E78)</f>
        <v>289331423</v>
      </c>
      <c r="F76" s="26">
        <f>SUM(F77:F78)</f>
        <v>447404</v>
      </c>
      <c r="G76" s="26">
        <f>SUM(G77:G78)</f>
        <v>3220588</v>
      </c>
      <c r="H76" s="27">
        <f>'[1]1.1.sz.mell. '!C78</f>
        <v>967968475</v>
      </c>
      <c r="I76" s="28">
        <f>SUM(I77:I78)</f>
        <v>346583469</v>
      </c>
      <c r="J76" s="27">
        <f>SUM(J77:J78)</f>
        <v>829764</v>
      </c>
      <c r="K76" s="27">
        <f>SUM(K77:K78)</f>
        <v>17254367</v>
      </c>
    </row>
    <row r="77" spans="1:11" s="29" customFormat="1" ht="12" customHeight="1" x14ac:dyDescent="0.2">
      <c r="A77" s="30" t="s">
        <v>150</v>
      </c>
      <c r="B77" s="31" t="s">
        <v>151</v>
      </c>
      <c r="C77" s="40">
        <v>620677200</v>
      </c>
      <c r="D77" s="33">
        <v>367267935</v>
      </c>
      <c r="E77" s="42">
        <v>289331423</v>
      </c>
      <c r="F77" s="43">
        <v>447404</v>
      </c>
      <c r="G77" s="43">
        <v>3220588</v>
      </c>
      <c r="H77" s="36">
        <f>'[1]1.1.sz.mell. '!C79</f>
        <v>967968475</v>
      </c>
      <c r="I77" s="62">
        <f>346583469</f>
        <v>346583469</v>
      </c>
      <c r="J77" s="45">
        <f>829764</f>
        <v>829764</v>
      </c>
      <c r="K77" s="45">
        <f>1550858+372804+435258+1054835+13840612</f>
        <v>17254367</v>
      </c>
    </row>
    <row r="78" spans="1:11" s="29" customFormat="1" ht="12" customHeight="1" thickBot="1" x14ac:dyDescent="0.25">
      <c r="A78" s="47" t="s">
        <v>152</v>
      </c>
      <c r="B78" s="48" t="s">
        <v>153</v>
      </c>
      <c r="C78" s="49"/>
      <c r="D78" s="94"/>
      <c r="E78" s="42"/>
      <c r="F78" s="43"/>
      <c r="G78" s="43"/>
      <c r="H78" s="86">
        <f>'[1]1.1.sz.mell. '!C80</f>
        <v>0</v>
      </c>
      <c r="I78" s="62"/>
      <c r="J78" s="45"/>
      <c r="K78" s="45"/>
    </row>
    <row r="79" spans="1:11" s="29" customFormat="1" ht="12" customHeight="1" thickBot="1" x14ac:dyDescent="0.25">
      <c r="A79" s="97" t="s">
        <v>154</v>
      </c>
      <c r="B79" s="56" t="s">
        <v>155</v>
      </c>
      <c r="C79" s="100">
        <f>SUM(C80:C82)</f>
        <v>41904332</v>
      </c>
      <c r="D79" s="100">
        <f>SUM(D80:D82)</f>
        <v>45672254</v>
      </c>
      <c r="E79" s="25">
        <f>SUM(E80:E82)</f>
        <v>0</v>
      </c>
      <c r="F79" s="26">
        <f>SUM(F80:F82)</f>
        <v>0</v>
      </c>
      <c r="G79" s="26">
        <f>SUM(G80:G82)</f>
        <v>0</v>
      </c>
      <c r="H79" s="27">
        <f>'[1]1.1.sz.mell. '!C81</f>
        <v>0</v>
      </c>
      <c r="I79" s="28">
        <f>SUM(I80:I82)</f>
        <v>0</v>
      </c>
      <c r="J79" s="27">
        <f>SUM(J80:J82)</f>
        <v>0</v>
      </c>
      <c r="K79" s="27">
        <f>SUM(K80:K82)</f>
        <v>0</v>
      </c>
    </row>
    <row r="80" spans="1:11" s="29" customFormat="1" ht="12" customHeight="1" x14ac:dyDescent="0.2">
      <c r="A80" s="30" t="s">
        <v>156</v>
      </c>
      <c r="B80" s="31" t="s">
        <v>157</v>
      </c>
      <c r="C80" s="40">
        <v>41904332</v>
      </c>
      <c r="D80" s="33">
        <v>45672254</v>
      </c>
      <c r="E80" s="42"/>
      <c r="F80" s="43"/>
      <c r="G80" s="43"/>
      <c r="H80" s="85">
        <f>'[1]1.1.sz.mell. '!C82</f>
        <v>0</v>
      </c>
      <c r="I80" s="62"/>
      <c r="J80" s="45"/>
      <c r="K80" s="45"/>
    </row>
    <row r="81" spans="1:11" s="29" customFormat="1" ht="12" customHeight="1" x14ac:dyDescent="0.2">
      <c r="A81" s="38" t="s">
        <v>158</v>
      </c>
      <c r="B81" s="39" t="s">
        <v>159</v>
      </c>
      <c r="C81" s="40"/>
      <c r="D81" s="72"/>
      <c r="E81" s="42"/>
      <c r="F81" s="43"/>
      <c r="G81" s="43"/>
      <c r="H81" s="73">
        <f>'[1]1.1.sz.mell. '!C83</f>
        <v>0</v>
      </c>
      <c r="I81" s="62"/>
      <c r="J81" s="45"/>
      <c r="K81" s="45"/>
    </row>
    <row r="82" spans="1:11" s="29" customFormat="1" ht="12" customHeight="1" thickBot="1" x14ac:dyDescent="0.25">
      <c r="A82" s="47" t="s">
        <v>160</v>
      </c>
      <c r="B82" s="48" t="s">
        <v>161</v>
      </c>
      <c r="C82" s="49"/>
      <c r="D82" s="94"/>
      <c r="E82" s="42"/>
      <c r="F82" s="43"/>
      <c r="G82" s="43"/>
      <c r="H82" s="86">
        <f>'[1]1.1.sz.mell. '!C84</f>
        <v>0</v>
      </c>
      <c r="I82" s="62"/>
      <c r="J82" s="45"/>
      <c r="K82" s="45"/>
    </row>
    <row r="83" spans="1:11" s="29" customFormat="1" ht="12" customHeight="1" thickBot="1" x14ac:dyDescent="0.25">
      <c r="A83" s="97" t="s">
        <v>162</v>
      </c>
      <c r="B83" s="56" t="s">
        <v>163</v>
      </c>
      <c r="C83" s="99">
        <f>SUM(C84:C87)</f>
        <v>0</v>
      </c>
      <c r="D83" s="99">
        <f>SUM(D84:D87)</f>
        <v>0</v>
      </c>
      <c r="E83" s="25">
        <f>SUM(E84:E87)</f>
        <v>0</v>
      </c>
      <c r="F83" s="26">
        <f>SUM(F84:F87)</f>
        <v>0</v>
      </c>
      <c r="G83" s="26">
        <f>SUM(G84:G87)</f>
        <v>0</v>
      </c>
      <c r="H83" s="27">
        <f>'[1]1.1.sz.mell. '!C85</f>
        <v>0</v>
      </c>
      <c r="I83" s="28">
        <f>SUM(I84:I87)</f>
        <v>0</v>
      </c>
      <c r="J83" s="27">
        <f>SUM(J84:J87)</f>
        <v>0</v>
      </c>
      <c r="K83" s="27">
        <f>SUM(K84:K87)</f>
        <v>0</v>
      </c>
    </row>
    <row r="84" spans="1:11" s="29" customFormat="1" ht="12" customHeight="1" x14ac:dyDescent="0.2">
      <c r="A84" s="101" t="s">
        <v>164</v>
      </c>
      <c r="B84" s="31" t="s">
        <v>165</v>
      </c>
      <c r="C84" s="40"/>
      <c r="D84" s="84"/>
      <c r="E84" s="42"/>
      <c r="F84" s="43"/>
      <c r="G84" s="43"/>
      <c r="H84" s="85">
        <f>'[1]1.1.sz.mell. '!C86</f>
        <v>0</v>
      </c>
      <c r="I84" s="62"/>
      <c r="J84" s="45"/>
      <c r="K84" s="45"/>
    </row>
    <row r="85" spans="1:11" s="29" customFormat="1" ht="12" customHeight="1" x14ac:dyDescent="0.2">
      <c r="A85" s="102" t="s">
        <v>166</v>
      </c>
      <c r="B85" s="39" t="s">
        <v>167</v>
      </c>
      <c r="C85" s="40"/>
      <c r="D85" s="72"/>
      <c r="E85" s="42"/>
      <c r="F85" s="43"/>
      <c r="G85" s="43"/>
      <c r="H85" s="73">
        <f>'[1]1.1.sz.mell. '!C87</f>
        <v>0</v>
      </c>
      <c r="I85" s="62"/>
      <c r="J85" s="45"/>
      <c r="K85" s="45"/>
    </row>
    <row r="86" spans="1:11" s="29" customFormat="1" ht="12" customHeight="1" x14ac:dyDescent="0.2">
      <c r="A86" s="102" t="s">
        <v>168</v>
      </c>
      <c r="B86" s="39" t="s">
        <v>169</v>
      </c>
      <c r="C86" s="40"/>
      <c r="D86" s="72"/>
      <c r="E86" s="42"/>
      <c r="F86" s="43"/>
      <c r="G86" s="43"/>
      <c r="H86" s="73">
        <f>'[1]1.1.sz.mell. '!C88</f>
        <v>0</v>
      </c>
      <c r="I86" s="62"/>
      <c r="J86" s="45"/>
      <c r="K86" s="45"/>
    </row>
    <row r="87" spans="1:11" s="29" customFormat="1" ht="12" customHeight="1" thickBot="1" x14ac:dyDescent="0.25">
      <c r="A87" s="103" t="s">
        <v>170</v>
      </c>
      <c r="B87" s="48" t="s">
        <v>171</v>
      </c>
      <c r="C87" s="49"/>
      <c r="D87" s="94"/>
      <c r="E87" s="42"/>
      <c r="F87" s="43"/>
      <c r="G87" s="43"/>
      <c r="H87" s="86">
        <f>'[1]1.1.sz.mell. '!C89</f>
        <v>0</v>
      </c>
      <c r="I87" s="62"/>
      <c r="J87" s="45"/>
      <c r="K87" s="45"/>
    </row>
    <row r="88" spans="1:11" s="29" customFormat="1" ht="12" customHeight="1" thickBot="1" x14ac:dyDescent="0.25">
      <c r="A88" s="97" t="s">
        <v>172</v>
      </c>
      <c r="B88" s="56" t="s">
        <v>173</v>
      </c>
      <c r="C88" s="104"/>
      <c r="D88" s="26"/>
      <c r="E88" s="105"/>
      <c r="F88" s="106"/>
      <c r="G88" s="106"/>
      <c r="H88" s="27">
        <f>'[1]1.1.sz.mell. '!C90</f>
        <v>0</v>
      </c>
      <c r="I88" s="107"/>
      <c r="J88" s="108"/>
      <c r="K88" s="108"/>
    </row>
    <row r="89" spans="1:11" s="29" customFormat="1" ht="12" customHeight="1" thickBot="1" x14ac:dyDescent="0.25">
      <c r="A89" s="97" t="s">
        <v>174</v>
      </c>
      <c r="B89" s="56" t="s">
        <v>175</v>
      </c>
      <c r="C89" s="104"/>
      <c r="D89" s="26"/>
      <c r="E89" s="105"/>
      <c r="F89" s="106"/>
      <c r="G89" s="106"/>
      <c r="H89" s="27">
        <f>'[1]1.1.sz.mell. '!C91</f>
        <v>0</v>
      </c>
      <c r="I89" s="107"/>
      <c r="J89" s="108"/>
      <c r="K89" s="108"/>
    </row>
    <row r="90" spans="1:11" s="29" customFormat="1" ht="12" customHeight="1" thickBot="1" x14ac:dyDescent="0.25">
      <c r="A90" s="97" t="s">
        <v>176</v>
      </c>
      <c r="B90" s="109" t="s">
        <v>177</v>
      </c>
      <c r="C90" s="96">
        <f>C89+C88+C83+C79+C76+C71+C67</f>
        <v>725901089</v>
      </c>
      <c r="D90" s="96">
        <f>D89+D88+D83+D79+D76+D71+D67</f>
        <v>442960626</v>
      </c>
      <c r="E90" s="75">
        <f>+E67+E71+E76+E79+E83+E89+E88</f>
        <v>433431423</v>
      </c>
      <c r="F90" s="76">
        <f>+F67+F71+F76+F79+F83+F89+F88</f>
        <v>447404</v>
      </c>
      <c r="G90" s="76">
        <f>+G67+G71+G76+G79+G83+G89+G88</f>
        <v>3220588</v>
      </c>
      <c r="H90" s="27">
        <f>'[1]1.1.sz.mell. '!C92</f>
        <v>1710380374</v>
      </c>
      <c r="I90" s="77">
        <f>+I67+I71+I76+I79+I83+I89+I88</f>
        <v>515852575</v>
      </c>
      <c r="J90" s="78">
        <f>+J67+J71+J76+J79+J83+J89+J88</f>
        <v>829764</v>
      </c>
      <c r="K90" s="78">
        <f>+K67+K71+K76+K79+K83+K89+K88</f>
        <v>17254367</v>
      </c>
    </row>
    <row r="91" spans="1:11" s="29" customFormat="1" ht="12" customHeight="1" thickBot="1" x14ac:dyDescent="0.25">
      <c r="A91" s="110" t="s">
        <v>178</v>
      </c>
      <c r="B91" s="111" t="s">
        <v>179</v>
      </c>
      <c r="C91" s="96">
        <f>C90+C66</f>
        <v>2948027314</v>
      </c>
      <c r="D91" s="96">
        <f>D90+D66</f>
        <v>3788176164</v>
      </c>
      <c r="E91" s="75">
        <f>+E66+E90</f>
        <v>1824871137</v>
      </c>
      <c r="F91" s="76">
        <f>+F66+F90</f>
        <v>9863904</v>
      </c>
      <c r="G91" s="76">
        <f>+G66+G90</f>
        <v>393971766</v>
      </c>
      <c r="H91" s="27">
        <f>'[1]1.1.sz.mell. '!C93</f>
        <v>4453796966</v>
      </c>
      <c r="I91" s="77">
        <f>+I66+I90</f>
        <v>2831811542</v>
      </c>
      <c r="J91" s="78">
        <f>+J66+J90</f>
        <v>9280592</v>
      </c>
      <c r="K91" s="78">
        <f>+K66+K90</f>
        <v>306161282</v>
      </c>
    </row>
    <row r="92" spans="1:11" s="29" customFormat="1" ht="12" customHeight="1" x14ac:dyDescent="0.2">
      <c r="A92" s="112"/>
      <c r="B92" s="113"/>
      <c r="C92" s="114"/>
      <c r="D92" s="115"/>
      <c r="E92" s="116"/>
      <c r="F92" s="116"/>
      <c r="G92" s="116"/>
      <c r="H92" s="117"/>
    </row>
    <row r="93" spans="1:11" s="29" customFormat="1" ht="12" customHeight="1" x14ac:dyDescent="0.2">
      <c r="A93" s="7" t="s">
        <v>180</v>
      </c>
      <c r="B93" s="7"/>
      <c r="C93" s="7"/>
      <c r="D93" s="7"/>
      <c r="E93" s="7"/>
      <c r="F93" s="7"/>
      <c r="G93" s="7"/>
      <c r="H93" s="7"/>
    </row>
    <row r="94" spans="1:11" s="29" customFormat="1" ht="12" customHeight="1" thickBot="1" x14ac:dyDescent="0.25">
      <c r="A94" s="118" t="s">
        <v>181</v>
      </c>
      <c r="B94" s="118"/>
      <c r="C94" s="119"/>
      <c r="D94" s="9"/>
      <c r="E94" s="9"/>
      <c r="F94" s="9"/>
      <c r="G94" s="9"/>
      <c r="H94" s="120" t="str">
        <f>H6</f>
        <v>Forintban!</v>
      </c>
    </row>
    <row r="95" spans="1:11" s="29" customFormat="1" ht="36.75" customHeight="1" thickBot="1" x14ac:dyDescent="0.25">
      <c r="A95" s="12" t="s">
        <v>182</v>
      </c>
      <c r="B95" s="121" t="s">
        <v>183</v>
      </c>
      <c r="C95" s="14" t="str">
        <f>C7</f>
        <v>2018. évi tény</v>
      </c>
      <c r="D95" s="14" t="str">
        <f t="shared" ref="D95:H95" si="1">D7</f>
        <v>2019. évi várható adat</v>
      </c>
      <c r="E95" s="14">
        <f t="shared" si="1"/>
        <v>0</v>
      </c>
      <c r="F95" s="14">
        <f t="shared" si="1"/>
        <v>0</v>
      </c>
      <c r="G95" s="14">
        <f t="shared" si="1"/>
        <v>0</v>
      </c>
      <c r="H95" s="14" t="str">
        <f t="shared" si="1"/>
        <v>2020. évi előirányzat</v>
      </c>
    </row>
    <row r="96" spans="1:11" s="29" customFormat="1" ht="12" customHeight="1" thickBot="1" x14ac:dyDescent="0.25">
      <c r="A96" s="17" t="s">
        <v>9</v>
      </c>
      <c r="B96" s="122" t="s">
        <v>10</v>
      </c>
      <c r="C96" s="96" t="s">
        <v>11</v>
      </c>
      <c r="D96" s="123" t="s">
        <v>12</v>
      </c>
      <c r="E96" s="20"/>
      <c r="F96" s="20"/>
      <c r="G96" s="20"/>
      <c r="H96" s="21" t="s">
        <v>13</v>
      </c>
    </row>
    <row r="97" spans="1:11" s="29" customFormat="1" ht="15" customHeight="1" thickBot="1" x14ac:dyDescent="0.25">
      <c r="A97" s="124" t="s">
        <v>14</v>
      </c>
      <c r="B97" s="125" t="s">
        <v>184</v>
      </c>
      <c r="C97" s="96">
        <f>SUM(C98:C102,C115)</f>
        <v>2137354184</v>
      </c>
      <c r="D97" s="96">
        <f>SUM(D98:D102,D115)</f>
        <v>2286219244</v>
      </c>
      <c r="E97" s="126"/>
      <c r="F97" s="21"/>
      <c r="G97" s="96"/>
      <c r="H97" s="127">
        <f>'[1]1.1.sz.mell. '!C99</f>
        <v>2777107681</v>
      </c>
      <c r="I97" s="128">
        <f>+I98+I99+I100+I101+I102+I115</f>
        <v>729611526</v>
      </c>
      <c r="J97" s="129">
        <f>+J98+J99+J100+J101+J102+J115</f>
        <v>223670940</v>
      </c>
      <c r="K97" s="87">
        <f>K98+K99+K100+K101+K102+K115</f>
        <v>1606947760</v>
      </c>
    </row>
    <row r="98" spans="1:11" s="29" customFormat="1" ht="12.95" customHeight="1" x14ac:dyDescent="0.2">
      <c r="A98" s="130" t="s">
        <v>16</v>
      </c>
      <c r="B98" s="131" t="s">
        <v>185</v>
      </c>
      <c r="C98" s="132">
        <v>954601761</v>
      </c>
      <c r="D98" s="133">
        <v>1036807081</v>
      </c>
      <c r="E98" s="134"/>
      <c r="F98" s="135"/>
      <c r="G98" s="135"/>
      <c r="H98" s="136">
        <f>'[1]1.1.sz.mell. '!C100</f>
        <v>1205958121</v>
      </c>
      <c r="I98" s="137">
        <f>23173251+2787126+1407675+14384916+61829+2528076+5742073</f>
        <v>50084946</v>
      </c>
      <c r="J98" s="138">
        <f>147375885+935085+4069918</f>
        <v>152380888</v>
      </c>
      <c r="K98" s="138">
        <f>60512486+64039486+48091292+208655734+471445483</f>
        <v>852744481</v>
      </c>
    </row>
    <row r="99" spans="1:11" ht="16.5" customHeight="1" x14ac:dyDescent="0.25">
      <c r="A99" s="38" t="s">
        <v>18</v>
      </c>
      <c r="B99" s="139" t="s">
        <v>186</v>
      </c>
      <c r="C99" s="140">
        <v>198202661</v>
      </c>
      <c r="D99" s="141">
        <v>207856870</v>
      </c>
      <c r="E99" s="42"/>
      <c r="F99" s="43"/>
      <c r="G99" s="43"/>
      <c r="H99" s="136">
        <f>'[1]1.1.sz.mell. '!C101</f>
        <v>228956668</v>
      </c>
      <c r="I99" s="62">
        <f>4364055+1409889+7817+2684650+14227+10944+444000+1007723</f>
        <v>9943305</v>
      </c>
      <c r="J99" s="45">
        <f>30406649+133681+815187</f>
        <v>31355517</v>
      </c>
      <c r="K99" s="45">
        <f>13261042+12834203+9499320+44850807+98130166</f>
        <v>178575538</v>
      </c>
    </row>
    <row r="100" spans="1:11" x14ac:dyDescent="0.25">
      <c r="A100" s="38" t="s">
        <v>20</v>
      </c>
      <c r="B100" s="139" t="s">
        <v>187</v>
      </c>
      <c r="C100" s="142">
        <v>759722479</v>
      </c>
      <c r="D100" s="141">
        <v>803850676</v>
      </c>
      <c r="E100" s="63"/>
      <c r="F100" s="64"/>
      <c r="G100" s="43"/>
      <c r="H100" s="136">
        <f>'[1]1.1.sz.mell. '!C102</f>
        <v>937314096</v>
      </c>
      <c r="I100" s="65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0" s="66">
        <f>38780508+150000+369027+635000</f>
        <v>39934535</v>
      </c>
      <c r="K100" s="45">
        <f>229985778+15749737+50789082+80145873+198957271</f>
        <v>575627741</v>
      </c>
    </row>
    <row r="101" spans="1:11" s="22" customFormat="1" ht="12" customHeight="1" x14ac:dyDescent="0.2">
      <c r="A101" s="38" t="s">
        <v>22</v>
      </c>
      <c r="B101" s="143" t="s">
        <v>188</v>
      </c>
      <c r="C101" s="140">
        <v>67052084</v>
      </c>
      <c r="D101" s="141">
        <v>47275053</v>
      </c>
      <c r="E101" s="63"/>
      <c r="F101" s="64"/>
      <c r="G101" s="64"/>
      <c r="H101" s="136">
        <f>'[1]1.1.sz.mell. '!C103</f>
        <v>61300000</v>
      </c>
      <c r="I101" s="65">
        <f>24250000+48100000+3500000</f>
        <v>75850000</v>
      </c>
      <c r="J101" s="66"/>
      <c r="K101" s="66"/>
    </row>
    <row r="102" spans="1:11" ht="12" customHeight="1" x14ac:dyDescent="0.25">
      <c r="A102" s="38" t="s">
        <v>189</v>
      </c>
      <c r="B102" s="144" t="s">
        <v>190</v>
      </c>
      <c r="C102" s="140">
        <f>SUM(C103:C114)</f>
        <v>157775199</v>
      </c>
      <c r="D102" s="140">
        <f t="shared" ref="D102:H102" si="2">SUM(D103:D114)</f>
        <v>190429564</v>
      </c>
      <c r="E102" s="140">
        <f t="shared" si="2"/>
        <v>0</v>
      </c>
      <c r="F102" s="140">
        <f t="shared" si="2"/>
        <v>0</v>
      </c>
      <c r="G102" s="140">
        <f t="shared" si="2"/>
        <v>0</v>
      </c>
      <c r="H102" s="140">
        <f t="shared" si="2"/>
        <v>210337958</v>
      </c>
      <c r="I102" s="65">
        <f>SUM(I103:I114)</f>
        <v>219979003</v>
      </c>
      <c r="J102" s="65">
        <f t="shared" ref="J102" si="3">SUM(J103:J114)</f>
        <v>0</v>
      </c>
      <c r="K102" s="66"/>
    </row>
    <row r="103" spans="1:11" ht="12" customHeight="1" x14ac:dyDescent="0.25">
      <c r="A103" s="38" t="s">
        <v>26</v>
      </c>
      <c r="B103" s="139" t="s">
        <v>191</v>
      </c>
      <c r="C103" s="142">
        <v>5090844</v>
      </c>
      <c r="D103" s="141">
        <v>9463052</v>
      </c>
      <c r="E103" s="63"/>
      <c r="F103" s="64"/>
      <c r="G103" s="64"/>
      <c r="H103" s="136">
        <f>'[1]1.1.sz.mell. '!C105</f>
        <v>2500</v>
      </c>
      <c r="I103" s="65">
        <v>100000</v>
      </c>
      <c r="J103" s="66"/>
      <c r="K103" s="66"/>
    </row>
    <row r="104" spans="1:11" ht="12" customHeight="1" x14ac:dyDescent="0.25">
      <c r="A104" s="38" t="s">
        <v>192</v>
      </c>
      <c r="B104" s="145" t="s">
        <v>193</v>
      </c>
      <c r="C104" s="142"/>
      <c r="D104" s="141"/>
      <c r="E104" s="63"/>
      <c r="F104" s="64"/>
      <c r="G104" s="64"/>
      <c r="H104" s="136">
        <f>'[1]1.1.sz.mell. '!C106</f>
        <v>0</v>
      </c>
      <c r="I104" s="65"/>
      <c r="J104" s="66"/>
      <c r="K104" s="66"/>
    </row>
    <row r="105" spans="1:11" ht="12" customHeight="1" x14ac:dyDescent="0.25">
      <c r="A105" s="38" t="s">
        <v>194</v>
      </c>
      <c r="B105" s="145" t="s">
        <v>195</v>
      </c>
      <c r="C105" s="142">
        <v>159000</v>
      </c>
      <c r="D105" s="141"/>
      <c r="E105" s="63"/>
      <c r="F105" s="64"/>
      <c r="G105" s="64"/>
      <c r="H105" s="136">
        <f>'[1]1.1.sz.mell. '!C107</f>
        <v>0</v>
      </c>
      <c r="I105" s="65"/>
      <c r="J105" s="66"/>
      <c r="K105" s="66"/>
    </row>
    <row r="106" spans="1:11" ht="12" customHeight="1" x14ac:dyDescent="0.25">
      <c r="A106" s="38" t="s">
        <v>196</v>
      </c>
      <c r="B106" s="146" t="s">
        <v>197</v>
      </c>
      <c r="C106" s="147"/>
      <c r="D106" s="141"/>
      <c r="E106" s="63"/>
      <c r="F106" s="64"/>
      <c r="G106" s="64"/>
      <c r="H106" s="136">
        <f>'[1]1.1.sz.mell. '!C108</f>
        <v>0</v>
      </c>
      <c r="I106" s="65"/>
      <c r="J106" s="66"/>
      <c r="K106" s="66"/>
    </row>
    <row r="107" spans="1:11" ht="12" customHeight="1" x14ac:dyDescent="0.25">
      <c r="A107" s="38" t="s">
        <v>198</v>
      </c>
      <c r="B107" s="148" t="s">
        <v>199</v>
      </c>
      <c r="C107" s="142"/>
      <c r="D107" s="141"/>
      <c r="E107" s="63"/>
      <c r="F107" s="64"/>
      <c r="G107" s="64"/>
      <c r="H107" s="136">
        <f>'[1]1.1.sz.mell. '!C109</f>
        <v>0</v>
      </c>
      <c r="I107" s="65"/>
      <c r="J107" s="66"/>
      <c r="K107" s="66"/>
    </row>
    <row r="108" spans="1:11" ht="12" customHeight="1" x14ac:dyDescent="0.25">
      <c r="A108" s="38" t="s">
        <v>200</v>
      </c>
      <c r="B108" s="148" t="s">
        <v>201</v>
      </c>
      <c r="C108" s="142"/>
      <c r="D108" s="141"/>
      <c r="E108" s="63"/>
      <c r="F108" s="64"/>
      <c r="G108" s="64"/>
      <c r="H108" s="136">
        <f>'[1]1.1.sz.mell. '!C110</f>
        <v>0</v>
      </c>
      <c r="I108" s="65"/>
      <c r="J108" s="66"/>
      <c r="K108" s="66"/>
    </row>
    <row r="109" spans="1:11" ht="12" customHeight="1" x14ac:dyDescent="0.25">
      <c r="A109" s="38" t="s">
        <v>202</v>
      </c>
      <c r="B109" s="146" t="s">
        <v>203</v>
      </c>
      <c r="C109" s="149">
        <v>746500</v>
      </c>
      <c r="D109" s="141">
        <v>4012934</v>
      </c>
      <c r="E109" s="63"/>
      <c r="F109" s="64"/>
      <c r="G109" s="64"/>
      <c r="H109" s="136">
        <f>'[1]1.1.sz.mell. '!C111</f>
        <v>526000</v>
      </c>
      <c r="I109" s="65">
        <f>523000</f>
        <v>523000</v>
      </c>
      <c r="J109" s="66"/>
      <c r="K109" s="66"/>
    </row>
    <row r="110" spans="1:11" ht="12" customHeight="1" x14ac:dyDescent="0.25">
      <c r="A110" s="38" t="s">
        <v>204</v>
      </c>
      <c r="B110" s="146" t="s">
        <v>205</v>
      </c>
      <c r="C110" s="147"/>
      <c r="D110" s="141"/>
      <c r="E110" s="63"/>
      <c r="F110" s="64"/>
      <c r="G110" s="64"/>
      <c r="H110" s="136">
        <f>'[1]1.1.sz.mell. '!C112</f>
        <v>0</v>
      </c>
      <c r="I110" s="65"/>
      <c r="J110" s="66"/>
      <c r="K110" s="66"/>
    </row>
    <row r="111" spans="1:11" ht="12" customHeight="1" x14ac:dyDescent="0.25">
      <c r="A111" s="38" t="s">
        <v>206</v>
      </c>
      <c r="B111" s="148" t="s">
        <v>207</v>
      </c>
      <c r="C111" s="149"/>
      <c r="D111" s="141">
        <v>15400000</v>
      </c>
      <c r="E111" s="63"/>
      <c r="F111" s="64"/>
      <c r="G111" s="64"/>
      <c r="H111" s="136">
        <f>'[1]1.1.sz.mell. '!C113</f>
        <v>0</v>
      </c>
      <c r="I111" s="65"/>
      <c r="J111" s="66"/>
      <c r="K111" s="66"/>
    </row>
    <row r="112" spans="1:11" ht="12" customHeight="1" x14ac:dyDescent="0.25">
      <c r="A112" s="150" t="s">
        <v>208</v>
      </c>
      <c r="B112" s="145" t="s">
        <v>209</v>
      </c>
      <c r="C112" s="149"/>
      <c r="D112" s="141"/>
      <c r="E112" s="63"/>
      <c r="F112" s="64"/>
      <c r="G112" s="64"/>
      <c r="H112" s="136">
        <f>'[1]1.1.sz.mell. '!C114</f>
        <v>0</v>
      </c>
      <c r="I112" s="65"/>
      <c r="J112" s="66"/>
      <c r="K112" s="66"/>
    </row>
    <row r="113" spans="1:11" ht="12" customHeight="1" x14ac:dyDescent="0.25">
      <c r="A113" s="38" t="s">
        <v>210</v>
      </c>
      <c r="B113" s="145" t="s">
        <v>211</v>
      </c>
      <c r="C113" s="149"/>
      <c r="D113" s="141"/>
      <c r="E113" s="63"/>
      <c r="F113" s="64"/>
      <c r="G113" s="64"/>
      <c r="H113" s="136">
        <f>'[1]1.1.sz.mell. '!C115</f>
        <v>0</v>
      </c>
      <c r="I113" s="65"/>
      <c r="J113" s="66"/>
      <c r="K113" s="66"/>
    </row>
    <row r="114" spans="1:11" ht="12" customHeight="1" x14ac:dyDescent="0.25">
      <c r="A114" s="47" t="s">
        <v>212</v>
      </c>
      <c r="B114" s="145" t="s">
        <v>213</v>
      </c>
      <c r="C114" s="149">
        <v>151778855</v>
      </c>
      <c r="D114" s="141">
        <v>161553578</v>
      </c>
      <c r="E114" s="42"/>
      <c r="F114" s="43"/>
      <c r="G114" s="64"/>
      <c r="H114" s="136">
        <f>'[1]1.1.sz.mell. '!C116</f>
        <v>209809458</v>
      </c>
      <c r="I114" s="62">
        <f>1000000+47869145+6604733+15489215+46984511+23326783+69312000+7332000+1437616</f>
        <v>219356003</v>
      </c>
      <c r="J114" s="45"/>
      <c r="K114" s="66"/>
    </row>
    <row r="115" spans="1:11" ht="12" customHeight="1" x14ac:dyDescent="0.25">
      <c r="A115" s="38" t="s">
        <v>214</v>
      </c>
      <c r="B115" s="143" t="s">
        <v>215</v>
      </c>
      <c r="C115" s="151"/>
      <c r="D115" s="141"/>
      <c r="E115" s="42"/>
      <c r="F115" s="43"/>
      <c r="G115" s="43"/>
      <c r="H115" s="136">
        <f>'[1]1.1.sz.mell. '!C117</f>
        <v>133240838</v>
      </c>
      <c r="I115" s="62">
        <f>SUM(I116:I117)</f>
        <v>78390965</v>
      </c>
      <c r="J115" s="62">
        <f t="shared" ref="J115" si="4">SUM(J116:J117)</f>
        <v>0</v>
      </c>
      <c r="K115" s="45"/>
    </row>
    <row r="116" spans="1:11" ht="12" customHeight="1" x14ac:dyDescent="0.25">
      <c r="A116" s="38" t="s">
        <v>216</v>
      </c>
      <c r="B116" s="139" t="s">
        <v>217</v>
      </c>
      <c r="C116" s="152"/>
      <c r="D116" s="141"/>
      <c r="E116" s="63"/>
      <c r="F116" s="64"/>
      <c r="G116" s="43"/>
      <c r="H116" s="136">
        <f>'[1]1.1.sz.mell. '!C118</f>
        <v>20000000</v>
      </c>
      <c r="I116" s="65">
        <v>15000000</v>
      </c>
      <c r="J116" s="66"/>
      <c r="K116" s="45"/>
    </row>
    <row r="117" spans="1:11" ht="12" customHeight="1" thickBot="1" x14ac:dyDescent="0.3">
      <c r="A117" s="153" t="s">
        <v>218</v>
      </c>
      <c r="B117" s="154" t="s">
        <v>219</v>
      </c>
      <c r="C117" s="155"/>
      <c r="D117" s="156"/>
      <c r="E117" s="157"/>
      <c r="F117" s="158"/>
      <c r="G117" s="158"/>
      <c r="H117" s="136">
        <f>'[1]1.1.sz.mell. '!C119</f>
        <v>113240838</v>
      </c>
      <c r="I117" s="159">
        <f>63390965</f>
        <v>63390965</v>
      </c>
      <c r="J117" s="160"/>
      <c r="K117" s="160"/>
    </row>
    <row r="118" spans="1:11" ht="12" customHeight="1" thickBot="1" x14ac:dyDescent="0.3">
      <c r="A118" s="161" t="s">
        <v>28</v>
      </c>
      <c r="B118" s="162" t="s">
        <v>220</v>
      </c>
      <c r="C118" s="96">
        <f>C119+C121+C123</f>
        <v>397118900</v>
      </c>
      <c r="D118" s="96">
        <f>D119+D121+D123</f>
        <v>478464804</v>
      </c>
      <c r="E118" s="25"/>
      <c r="F118" s="26"/>
      <c r="G118" s="163"/>
      <c r="H118" s="164">
        <f>'[1]1.1.sz.mell. '!C120</f>
        <v>950650851</v>
      </c>
      <c r="I118" s="28">
        <f>+I119+I121+I123</f>
        <v>404630354</v>
      </c>
      <c r="J118" s="27">
        <f>+J119+J121+J123</f>
        <v>3585917</v>
      </c>
      <c r="K118" s="165">
        <f>+K119+K121+K123</f>
        <v>19950087</v>
      </c>
    </row>
    <row r="119" spans="1:11" ht="12" customHeight="1" x14ac:dyDescent="0.25">
      <c r="A119" s="30" t="s">
        <v>30</v>
      </c>
      <c r="B119" s="139" t="s">
        <v>221</v>
      </c>
      <c r="C119" s="166">
        <v>117395559</v>
      </c>
      <c r="D119" s="133">
        <v>211704361</v>
      </c>
      <c r="E119" s="34"/>
      <c r="F119" s="35"/>
      <c r="G119" s="35"/>
      <c r="H119" s="136">
        <f>'[1]1.1.sz.mell. '!C121</f>
        <v>680503226</v>
      </c>
      <c r="I119" s="70">
        <f>229989520+300000+13809000+835610+12076323+1270000+359410+4508500+2505001+5000+6704583</f>
        <v>272362947</v>
      </c>
      <c r="J119" s="37">
        <f>3355917+230000</f>
        <v>3585917</v>
      </c>
      <c r="K119" s="37">
        <f>506050+641350+1986214+1926590+13924683</f>
        <v>18984887</v>
      </c>
    </row>
    <row r="120" spans="1:11" x14ac:dyDescent="0.25">
      <c r="A120" s="30" t="s">
        <v>32</v>
      </c>
      <c r="B120" s="167" t="s">
        <v>222</v>
      </c>
      <c r="C120" s="168"/>
      <c r="D120" s="141"/>
      <c r="E120" s="34"/>
      <c r="F120" s="35"/>
      <c r="G120" s="35"/>
      <c r="H120" s="136">
        <f>'[1]1.1.sz.mell. '!C122</f>
        <v>575467863</v>
      </c>
      <c r="I120" s="70">
        <f>156693000+42191010+12076323+6704583</f>
        <v>217664916</v>
      </c>
      <c r="J120" s="37"/>
      <c r="K120" s="37">
        <v>717651</v>
      </c>
    </row>
    <row r="121" spans="1:11" ht="12" customHeight="1" x14ac:dyDescent="0.25">
      <c r="A121" s="30" t="s">
        <v>34</v>
      </c>
      <c r="B121" s="167" t="s">
        <v>223</v>
      </c>
      <c r="C121" s="149">
        <v>234332492</v>
      </c>
      <c r="D121" s="141">
        <v>259516521</v>
      </c>
      <c r="E121" s="42"/>
      <c r="F121" s="43"/>
      <c r="G121" s="43"/>
      <c r="H121" s="136">
        <f>'[1]1.1.sz.mell. '!C123</f>
        <v>262245726</v>
      </c>
      <c r="I121" s="62">
        <f>9517731+51474577+42450993+1905000</f>
        <v>105348301</v>
      </c>
      <c r="J121" s="45"/>
      <c r="K121" s="45">
        <v>965200</v>
      </c>
    </row>
    <row r="122" spans="1:11" ht="12" customHeight="1" x14ac:dyDescent="0.25">
      <c r="A122" s="30" t="s">
        <v>36</v>
      </c>
      <c r="B122" s="167" t="s">
        <v>224</v>
      </c>
      <c r="C122" s="169"/>
      <c r="D122" s="141"/>
      <c r="E122" s="42"/>
      <c r="F122" s="170"/>
      <c r="G122" s="42"/>
      <c r="H122" s="136">
        <f>'[1]1.1.sz.mell. '!C124</f>
        <v>92353398</v>
      </c>
      <c r="I122" s="62">
        <f>28614577+42450993-1206500</f>
        <v>69859070</v>
      </c>
      <c r="J122" s="171"/>
      <c r="K122" s="62"/>
    </row>
    <row r="123" spans="1:11" ht="12" customHeight="1" x14ac:dyDescent="0.25">
      <c r="A123" s="30" t="s">
        <v>38</v>
      </c>
      <c r="B123" s="48" t="s">
        <v>225</v>
      </c>
      <c r="C123" s="172">
        <f>SUM(C124:C131)</f>
        <v>45390849</v>
      </c>
      <c r="D123" s="141">
        <f>SUM(D124:D131)</f>
        <v>7243922</v>
      </c>
      <c r="E123" s="42"/>
      <c r="F123" s="42"/>
      <c r="G123" s="42"/>
      <c r="H123" s="136">
        <f>'[1]1.1.sz.mell. '!C125</f>
        <v>7901899</v>
      </c>
      <c r="I123" s="62">
        <f>SUM(I124:I131)</f>
        <v>26919106</v>
      </c>
      <c r="J123" s="62">
        <f t="shared" ref="J123" si="5">SUM(J124:J131)</f>
        <v>0</v>
      </c>
      <c r="K123" s="62"/>
    </row>
    <row r="124" spans="1:11" ht="12" customHeight="1" x14ac:dyDescent="0.25">
      <c r="A124" s="30" t="s">
        <v>40</v>
      </c>
      <c r="B124" s="46" t="s">
        <v>226</v>
      </c>
      <c r="C124" s="173"/>
      <c r="D124" s="141"/>
      <c r="E124" s="51"/>
      <c r="F124" s="51"/>
      <c r="G124" s="42"/>
      <c r="H124" s="136">
        <f>'[1]1.1.sz.mell. '!C126</f>
        <v>0</v>
      </c>
      <c r="I124" s="54"/>
      <c r="J124" s="54"/>
      <c r="K124" s="62"/>
    </row>
    <row r="125" spans="1:11" ht="12" customHeight="1" x14ac:dyDescent="0.25">
      <c r="A125" s="30" t="s">
        <v>227</v>
      </c>
      <c r="B125" s="174" t="s">
        <v>228</v>
      </c>
      <c r="C125" s="175"/>
      <c r="D125" s="141"/>
      <c r="E125" s="51"/>
      <c r="F125" s="51"/>
      <c r="G125" s="42"/>
      <c r="H125" s="136">
        <f>'[1]1.1.sz.mell. '!C127</f>
        <v>0</v>
      </c>
      <c r="I125" s="54"/>
      <c r="J125" s="54"/>
      <c r="K125" s="62"/>
    </row>
    <row r="126" spans="1:11" ht="12" customHeight="1" x14ac:dyDescent="0.25">
      <c r="A126" s="30" t="s">
        <v>229</v>
      </c>
      <c r="B126" s="148" t="s">
        <v>201</v>
      </c>
      <c r="C126" s="176"/>
      <c r="D126" s="141"/>
      <c r="E126" s="51"/>
      <c r="F126" s="51"/>
      <c r="G126" s="42"/>
      <c r="H126" s="136">
        <f>'[1]1.1.sz.mell. '!C128</f>
        <v>0</v>
      </c>
      <c r="I126" s="54"/>
      <c r="J126" s="54"/>
      <c r="K126" s="62"/>
    </row>
    <row r="127" spans="1:11" ht="12" customHeight="1" x14ac:dyDescent="0.25">
      <c r="A127" s="30" t="s">
        <v>230</v>
      </c>
      <c r="B127" s="148" t="s">
        <v>231</v>
      </c>
      <c r="C127" s="176"/>
      <c r="D127" s="141">
        <v>308980</v>
      </c>
      <c r="E127" s="51"/>
      <c r="F127" s="51"/>
      <c r="G127" s="42"/>
      <c r="H127" s="136">
        <f>'[1]1.1.sz.mell. '!C129</f>
        <v>0</v>
      </c>
      <c r="I127" s="54"/>
      <c r="J127" s="54"/>
      <c r="K127" s="62"/>
    </row>
    <row r="128" spans="1:11" ht="12" customHeight="1" x14ac:dyDescent="0.25">
      <c r="A128" s="30" t="s">
        <v>232</v>
      </c>
      <c r="B128" s="148" t="s">
        <v>233</v>
      </c>
      <c r="C128" s="176"/>
      <c r="D128" s="141"/>
      <c r="E128" s="51"/>
      <c r="F128" s="51"/>
      <c r="G128" s="42"/>
      <c r="H128" s="136">
        <f>'[1]1.1.sz.mell. '!C130</f>
        <v>0</v>
      </c>
      <c r="I128" s="54"/>
      <c r="J128" s="54"/>
      <c r="K128" s="62"/>
    </row>
    <row r="129" spans="1:11" ht="12" customHeight="1" x14ac:dyDescent="0.25">
      <c r="A129" s="30" t="s">
        <v>234</v>
      </c>
      <c r="B129" s="148" t="s">
        <v>207</v>
      </c>
      <c r="C129" s="176"/>
      <c r="D129" s="141"/>
      <c r="E129" s="51"/>
      <c r="F129" s="51"/>
      <c r="G129" s="42"/>
      <c r="H129" s="136">
        <f>'[1]1.1.sz.mell. '!C131</f>
        <v>0</v>
      </c>
      <c r="I129" s="54"/>
      <c r="J129" s="54"/>
      <c r="K129" s="62"/>
    </row>
    <row r="130" spans="1:11" ht="12" customHeight="1" x14ac:dyDescent="0.25">
      <c r="A130" s="30" t="s">
        <v>235</v>
      </c>
      <c r="B130" s="148" t="s">
        <v>236</v>
      </c>
      <c r="C130" s="176"/>
      <c r="D130" s="141"/>
      <c r="E130" s="51"/>
      <c r="F130" s="51"/>
      <c r="G130" s="42"/>
      <c r="H130" s="136">
        <f>'[1]1.1.sz.mell. '!C132</f>
        <v>0</v>
      </c>
      <c r="I130" s="54"/>
      <c r="J130" s="54"/>
      <c r="K130" s="62"/>
    </row>
    <row r="131" spans="1:11" ht="12" customHeight="1" thickBot="1" x14ac:dyDescent="0.3">
      <c r="A131" s="150" t="s">
        <v>237</v>
      </c>
      <c r="B131" s="148" t="s">
        <v>238</v>
      </c>
      <c r="C131" s="149">
        <v>45390849</v>
      </c>
      <c r="D131" s="156">
        <v>6934942</v>
      </c>
      <c r="E131" s="63"/>
      <c r="F131" s="63"/>
      <c r="G131" s="63"/>
      <c r="H131" s="136">
        <f>'[1]1.1.sz.mell. '!C133</f>
        <v>7901899</v>
      </c>
      <c r="I131" s="65">
        <f>650000+26269106</f>
        <v>26919106</v>
      </c>
      <c r="J131" s="65"/>
      <c r="K131" s="65"/>
    </row>
    <row r="132" spans="1:11" ht="12" customHeight="1" thickBot="1" x14ac:dyDescent="0.3">
      <c r="A132" s="23" t="s">
        <v>42</v>
      </c>
      <c r="B132" s="177" t="s">
        <v>239</v>
      </c>
      <c r="C132" s="96">
        <f>C118+C97</f>
        <v>2534473084</v>
      </c>
      <c r="D132" s="96">
        <f>D118+D97</f>
        <v>2764684048</v>
      </c>
      <c r="E132" s="25"/>
      <c r="F132" s="26"/>
      <c r="G132" s="26"/>
      <c r="H132" s="164">
        <f>'[1]1.1.sz.mell. '!C134</f>
        <v>3727758532</v>
      </c>
      <c r="I132" s="28">
        <f>+I97+I118</f>
        <v>1134241880</v>
      </c>
      <c r="J132" s="27">
        <f>+J97+J118</f>
        <v>227256857</v>
      </c>
      <c r="K132" s="27">
        <f>+K97+K118</f>
        <v>1626897847</v>
      </c>
    </row>
    <row r="133" spans="1:11" ht="12" customHeight="1" thickBot="1" x14ac:dyDescent="0.3">
      <c r="A133" s="23" t="s">
        <v>240</v>
      </c>
      <c r="B133" s="177" t="s">
        <v>241</v>
      </c>
      <c r="C133" s="96">
        <f>SUM(C134:C136)</f>
        <v>8118704</v>
      </c>
      <c r="D133" s="96">
        <f>SUM(D134:D136)</f>
        <v>16952500</v>
      </c>
      <c r="E133" s="25"/>
      <c r="F133" s="26"/>
      <c r="G133" s="26"/>
      <c r="H133" s="164">
        <f>'[1]1.1.sz.mell. '!C135</f>
        <v>726038434</v>
      </c>
      <c r="I133" s="28">
        <f>+I134+I135+I136</f>
        <v>116952500</v>
      </c>
      <c r="J133" s="27">
        <f>+J134+J135+J136</f>
        <v>0</v>
      </c>
      <c r="K133" s="27">
        <f>+K134+K135+K136</f>
        <v>0</v>
      </c>
    </row>
    <row r="134" spans="1:11" ht="12" customHeight="1" x14ac:dyDescent="0.25">
      <c r="A134" s="30" t="s">
        <v>58</v>
      </c>
      <c r="B134" s="167" t="s">
        <v>242</v>
      </c>
      <c r="C134" s="149">
        <v>8118704</v>
      </c>
      <c r="D134" s="79">
        <v>16952500</v>
      </c>
      <c r="E134" s="42"/>
      <c r="F134" s="42"/>
      <c r="G134" s="42"/>
      <c r="H134" s="136">
        <f>'[1]1.1.sz.mell. '!C136</f>
        <v>26038434</v>
      </c>
      <c r="I134" s="62">
        <f>11674500+5278000</f>
        <v>16952500</v>
      </c>
      <c r="J134" s="62"/>
      <c r="K134" s="62"/>
    </row>
    <row r="135" spans="1:11" ht="12" customHeight="1" x14ac:dyDescent="0.25">
      <c r="A135" s="30" t="s">
        <v>64</v>
      </c>
      <c r="B135" s="167" t="s">
        <v>243</v>
      </c>
      <c r="C135" s="169"/>
      <c r="D135" s="178"/>
      <c r="E135" s="51"/>
      <c r="F135" s="51"/>
      <c r="G135" s="51"/>
      <c r="H135" s="136">
        <f>'[1]1.1.sz.mell. '!C137</f>
        <v>700000000</v>
      </c>
      <c r="I135" s="54">
        <v>100000000</v>
      </c>
      <c r="J135" s="54"/>
      <c r="K135" s="54"/>
    </row>
    <row r="136" spans="1:11" ht="12" customHeight="1" thickBot="1" x14ac:dyDescent="0.3">
      <c r="A136" s="150" t="s">
        <v>244</v>
      </c>
      <c r="B136" s="167" t="s">
        <v>245</v>
      </c>
      <c r="C136" s="169"/>
      <c r="D136" s="179"/>
      <c r="E136" s="51"/>
      <c r="F136" s="51"/>
      <c r="G136" s="51"/>
      <c r="H136" s="180">
        <f>'[1]1.1.sz.mell. '!C138</f>
        <v>0</v>
      </c>
      <c r="I136" s="54"/>
      <c r="J136" s="54"/>
      <c r="K136" s="54"/>
    </row>
    <row r="137" spans="1:11" ht="12" customHeight="1" thickBot="1" x14ac:dyDescent="0.3">
      <c r="A137" s="23" t="s">
        <v>72</v>
      </c>
      <c r="B137" s="177" t="s">
        <v>246</v>
      </c>
      <c r="C137" s="99">
        <f>SUM(C138:C143)</f>
        <v>0</v>
      </c>
      <c r="D137" s="99">
        <f t="shared" ref="D137:H137" si="6">SUM(D138:D143)</f>
        <v>0</v>
      </c>
      <c r="E137" s="99">
        <f t="shared" si="6"/>
        <v>0</v>
      </c>
      <c r="F137" s="99">
        <f t="shared" si="6"/>
        <v>0</v>
      </c>
      <c r="G137" s="99">
        <f t="shared" si="6"/>
        <v>0</v>
      </c>
      <c r="H137" s="99">
        <f t="shared" si="6"/>
        <v>0</v>
      </c>
      <c r="I137" s="28">
        <f>+I138+I139+I140+I141+I142+I143</f>
        <v>0</v>
      </c>
      <c r="J137" s="27">
        <f>+J138+J139+J140+J141+J142+J143</f>
        <v>0</v>
      </c>
      <c r="K137" s="27">
        <f>SUM(K138:K143)</f>
        <v>0</v>
      </c>
    </row>
    <row r="138" spans="1:11" ht="12" customHeight="1" x14ac:dyDescent="0.25">
      <c r="A138" s="30" t="s">
        <v>74</v>
      </c>
      <c r="B138" s="181" t="s">
        <v>247</v>
      </c>
      <c r="C138" s="175"/>
      <c r="D138" s="79"/>
      <c r="E138" s="51"/>
      <c r="F138" s="51"/>
      <c r="G138" s="51"/>
      <c r="H138" s="136">
        <f>'[1]1.1.sz.mell. '!C140</f>
        <v>0</v>
      </c>
      <c r="I138" s="54"/>
      <c r="J138" s="54"/>
      <c r="K138" s="54"/>
    </row>
    <row r="139" spans="1:11" ht="12" customHeight="1" x14ac:dyDescent="0.25">
      <c r="A139" s="30" t="s">
        <v>76</v>
      </c>
      <c r="B139" s="181" t="s">
        <v>248</v>
      </c>
      <c r="C139" s="175"/>
      <c r="D139" s="178"/>
      <c r="E139" s="51"/>
      <c r="F139" s="51"/>
      <c r="G139" s="51"/>
      <c r="H139" s="136">
        <f>'[1]1.1.sz.mell. '!C141</f>
        <v>0</v>
      </c>
      <c r="I139" s="54"/>
      <c r="J139" s="54"/>
      <c r="K139" s="54"/>
    </row>
    <row r="140" spans="1:11" ht="12" customHeight="1" x14ac:dyDescent="0.25">
      <c r="A140" s="30" t="s">
        <v>78</v>
      </c>
      <c r="B140" s="181" t="s">
        <v>249</v>
      </c>
      <c r="C140" s="175"/>
      <c r="D140" s="178"/>
      <c r="E140" s="51"/>
      <c r="F140" s="51"/>
      <c r="G140" s="51"/>
      <c r="H140" s="136">
        <f>'[1]1.1.sz.mell. '!C142</f>
        <v>0</v>
      </c>
      <c r="I140" s="54"/>
      <c r="J140" s="54"/>
      <c r="K140" s="54"/>
    </row>
    <row r="141" spans="1:11" ht="12" customHeight="1" x14ac:dyDescent="0.25">
      <c r="A141" s="30" t="s">
        <v>80</v>
      </c>
      <c r="B141" s="181" t="s">
        <v>250</v>
      </c>
      <c r="C141" s="175"/>
      <c r="D141" s="178"/>
      <c r="E141" s="51"/>
      <c r="F141" s="51"/>
      <c r="G141" s="51"/>
      <c r="H141" s="136">
        <f>'[1]1.1.sz.mell. '!C143</f>
        <v>0</v>
      </c>
      <c r="I141" s="54"/>
      <c r="J141" s="54"/>
      <c r="K141" s="54"/>
    </row>
    <row r="142" spans="1:11" ht="12" customHeight="1" x14ac:dyDescent="0.25">
      <c r="A142" s="30" t="s">
        <v>82</v>
      </c>
      <c r="B142" s="181" t="s">
        <v>251</v>
      </c>
      <c r="C142" s="175"/>
      <c r="D142" s="178"/>
      <c r="E142" s="51"/>
      <c r="F142" s="51"/>
      <c r="G142" s="51"/>
      <c r="H142" s="136">
        <f>'[1]1.1.sz.mell. '!C144</f>
        <v>0</v>
      </c>
      <c r="I142" s="54"/>
      <c r="J142" s="54"/>
      <c r="K142" s="54"/>
    </row>
    <row r="143" spans="1:11" ht="12" customHeight="1" thickBot="1" x14ac:dyDescent="0.3">
      <c r="A143" s="150" t="s">
        <v>84</v>
      </c>
      <c r="B143" s="181" t="s">
        <v>252</v>
      </c>
      <c r="C143" s="175"/>
      <c r="D143" s="179"/>
      <c r="E143" s="51"/>
      <c r="F143" s="51"/>
      <c r="G143" s="51"/>
      <c r="H143" s="180">
        <f>'[1]1.1.sz.mell. '!C145</f>
        <v>0</v>
      </c>
      <c r="I143" s="54"/>
      <c r="J143" s="54"/>
      <c r="K143" s="54"/>
    </row>
    <row r="144" spans="1:11" ht="12" customHeight="1" thickBot="1" x14ac:dyDescent="0.3">
      <c r="A144" s="23" t="s">
        <v>96</v>
      </c>
      <c r="B144" s="177" t="s">
        <v>253</v>
      </c>
      <c r="C144" s="96">
        <f>SUM(C145:C148)</f>
        <v>38167591</v>
      </c>
      <c r="D144" s="96">
        <f t="shared" ref="D144:K144" si="7">SUM(D145:D148)</f>
        <v>41904332</v>
      </c>
      <c r="E144" s="96">
        <f t="shared" si="7"/>
        <v>0</v>
      </c>
      <c r="F144" s="96">
        <f t="shared" si="7"/>
        <v>0</v>
      </c>
      <c r="G144" s="96">
        <f t="shared" si="7"/>
        <v>0</v>
      </c>
      <c r="H144" s="96">
        <f t="shared" si="7"/>
        <v>0</v>
      </c>
      <c r="I144" s="96">
        <f t="shared" si="7"/>
        <v>41904332</v>
      </c>
      <c r="J144" s="96">
        <f t="shared" si="7"/>
        <v>0</v>
      </c>
      <c r="K144" s="96">
        <f t="shared" si="7"/>
        <v>0</v>
      </c>
    </row>
    <row r="145" spans="1:11" ht="12" customHeight="1" x14ac:dyDescent="0.25">
      <c r="A145" s="30" t="s">
        <v>98</v>
      </c>
      <c r="B145" s="181" t="s">
        <v>254</v>
      </c>
      <c r="C145" s="175"/>
      <c r="D145" s="79"/>
      <c r="E145" s="51"/>
      <c r="F145" s="51"/>
      <c r="G145" s="51"/>
      <c r="H145" s="182">
        <f>'[1]1.1.sz.mell. '!C147</f>
        <v>0</v>
      </c>
      <c r="I145" s="54"/>
      <c r="J145" s="54"/>
      <c r="K145" s="54"/>
    </row>
    <row r="146" spans="1:11" ht="12" customHeight="1" x14ac:dyDescent="0.25">
      <c r="A146" s="30" t="s">
        <v>100</v>
      </c>
      <c r="B146" s="181" t="s">
        <v>255</v>
      </c>
      <c r="C146" s="166">
        <v>38167591</v>
      </c>
      <c r="D146" s="178">
        <v>41904332</v>
      </c>
      <c r="E146" s="51"/>
      <c r="F146" s="51"/>
      <c r="G146" s="51"/>
      <c r="H146" s="136">
        <f>'[1]1.1.sz.mell. '!C148</f>
        <v>0</v>
      </c>
      <c r="I146" s="54">
        <f>41904332</f>
        <v>41904332</v>
      </c>
      <c r="J146" s="54"/>
      <c r="K146" s="54"/>
    </row>
    <row r="147" spans="1:11" ht="12" customHeight="1" x14ac:dyDescent="0.25">
      <c r="A147" s="30" t="s">
        <v>102</v>
      </c>
      <c r="B147" s="181" t="s">
        <v>256</v>
      </c>
      <c r="C147" s="175"/>
      <c r="D147" s="178"/>
      <c r="E147" s="51"/>
      <c r="F147" s="51"/>
      <c r="G147" s="51"/>
      <c r="H147" s="182">
        <f>'[1]1.1.sz.mell. '!C149</f>
        <v>0</v>
      </c>
      <c r="I147" s="54"/>
      <c r="J147" s="54"/>
      <c r="K147" s="54"/>
    </row>
    <row r="148" spans="1:11" ht="12" customHeight="1" thickBot="1" x14ac:dyDescent="0.3">
      <c r="A148" s="150" t="s">
        <v>104</v>
      </c>
      <c r="B148" s="183" t="s">
        <v>257</v>
      </c>
      <c r="C148" s="184"/>
      <c r="D148" s="179"/>
      <c r="E148" s="51"/>
      <c r="F148" s="51"/>
      <c r="G148" s="51"/>
      <c r="H148" s="185">
        <f>'[1]1.1.sz.mell. '!C150</f>
        <v>0</v>
      </c>
      <c r="I148" s="54"/>
      <c r="J148" s="54"/>
      <c r="K148" s="54"/>
    </row>
    <row r="149" spans="1:11" ht="12" customHeight="1" thickBot="1" x14ac:dyDescent="0.3">
      <c r="A149" s="23" t="s">
        <v>258</v>
      </c>
      <c r="B149" s="177" t="s">
        <v>259</v>
      </c>
      <c r="C149" s="100">
        <f>SUM(C150:C154)</f>
        <v>0</v>
      </c>
      <c r="D149" s="100">
        <f t="shared" ref="D149:H149" si="8">SUM(D150:D154)</f>
        <v>0</v>
      </c>
      <c r="E149" s="100">
        <f t="shared" si="8"/>
        <v>0</v>
      </c>
      <c r="F149" s="100">
        <f t="shared" si="8"/>
        <v>0</v>
      </c>
      <c r="G149" s="100">
        <f t="shared" si="8"/>
        <v>0</v>
      </c>
      <c r="H149" s="100">
        <f t="shared" si="8"/>
        <v>0</v>
      </c>
      <c r="I149" s="186">
        <f>+I150+I151+I152+I153+I154</f>
        <v>0</v>
      </c>
      <c r="J149" s="187">
        <f>+J150+J151+J152+J153+J154</f>
        <v>0</v>
      </c>
      <c r="K149" s="187">
        <f>SUM(K150:K154)</f>
        <v>0</v>
      </c>
    </row>
    <row r="150" spans="1:11" ht="12" customHeight="1" x14ac:dyDescent="0.25">
      <c r="A150" s="30" t="s">
        <v>110</v>
      </c>
      <c r="B150" s="181" t="s">
        <v>260</v>
      </c>
      <c r="C150" s="175"/>
      <c r="D150" s="79"/>
      <c r="E150" s="51"/>
      <c r="F150" s="51"/>
      <c r="G150" s="51"/>
      <c r="H150" s="182">
        <f>'[1]1.1.sz.mell. '!C152</f>
        <v>0</v>
      </c>
      <c r="I150" s="54"/>
      <c r="J150" s="54"/>
      <c r="K150" s="54"/>
    </row>
    <row r="151" spans="1:11" ht="12" customHeight="1" x14ac:dyDescent="0.25">
      <c r="A151" s="30" t="s">
        <v>112</v>
      </c>
      <c r="B151" s="181" t="s">
        <v>261</v>
      </c>
      <c r="C151" s="166"/>
      <c r="D151" s="178"/>
      <c r="E151" s="51"/>
      <c r="F151" s="51"/>
      <c r="G151" s="51"/>
      <c r="H151" s="182">
        <f>'[1]1.1.sz.mell. '!C153</f>
        <v>0</v>
      </c>
      <c r="I151" s="54"/>
      <c r="J151" s="54"/>
      <c r="K151" s="54"/>
    </row>
    <row r="152" spans="1:11" ht="12" customHeight="1" x14ac:dyDescent="0.25">
      <c r="A152" s="30" t="s">
        <v>114</v>
      </c>
      <c r="B152" s="181" t="s">
        <v>262</v>
      </c>
      <c r="C152" s="175"/>
      <c r="D152" s="178"/>
      <c r="E152" s="51"/>
      <c r="F152" s="51"/>
      <c r="G152" s="51"/>
      <c r="H152" s="182">
        <f>'[1]1.1.sz.mell. '!C154</f>
        <v>0</v>
      </c>
      <c r="I152" s="54"/>
      <c r="J152" s="54"/>
      <c r="K152" s="54"/>
    </row>
    <row r="153" spans="1:11" ht="12" customHeight="1" x14ac:dyDescent="0.25">
      <c r="A153" s="30" t="s">
        <v>116</v>
      </c>
      <c r="B153" s="181" t="s">
        <v>263</v>
      </c>
      <c r="C153" s="175"/>
      <c r="D153" s="178"/>
      <c r="E153" s="51"/>
      <c r="F153" s="51"/>
      <c r="G153" s="51"/>
      <c r="H153" s="182">
        <f>'[1]1.1.sz.mell. '!C155</f>
        <v>0</v>
      </c>
      <c r="I153" s="54"/>
      <c r="J153" s="54"/>
      <c r="K153" s="54"/>
    </row>
    <row r="154" spans="1:11" ht="12" customHeight="1" thickBot="1" x14ac:dyDescent="0.3">
      <c r="A154" s="30" t="s">
        <v>264</v>
      </c>
      <c r="B154" s="181" t="s">
        <v>265</v>
      </c>
      <c r="C154" s="175"/>
      <c r="D154" s="179"/>
      <c r="E154" s="90"/>
      <c r="F154" s="90"/>
      <c r="G154" s="51"/>
      <c r="H154" s="185">
        <f>'[1]1.1.sz.mell. '!C156</f>
        <v>0</v>
      </c>
      <c r="I154" s="92"/>
      <c r="J154" s="92"/>
      <c r="K154" s="54"/>
    </row>
    <row r="155" spans="1:11" ht="12" customHeight="1" thickBot="1" x14ac:dyDescent="0.3">
      <c r="A155" s="23" t="s">
        <v>118</v>
      </c>
      <c r="B155" s="177" t="s">
        <v>266</v>
      </c>
      <c r="C155" s="100"/>
      <c r="D155" s="188"/>
      <c r="E155" s="189"/>
      <c r="F155" s="190"/>
      <c r="G155" s="191"/>
      <c r="H155" s="164">
        <f>'[1]1.1.sz.mell. '!C157</f>
        <v>0</v>
      </c>
      <c r="I155" s="186"/>
      <c r="J155" s="187"/>
      <c r="K155" s="192"/>
    </row>
    <row r="156" spans="1:11" ht="12" customHeight="1" thickBot="1" x14ac:dyDescent="0.3">
      <c r="A156" s="23" t="s">
        <v>267</v>
      </c>
      <c r="B156" s="177" t="s">
        <v>268</v>
      </c>
      <c r="C156" s="100"/>
      <c r="D156" s="188"/>
      <c r="E156" s="189"/>
      <c r="F156" s="190"/>
      <c r="G156" s="191"/>
      <c r="H156" s="164">
        <f>'[1]1.1.sz.mell. '!C158</f>
        <v>0</v>
      </c>
      <c r="I156" s="186"/>
      <c r="J156" s="187"/>
      <c r="K156" s="192"/>
    </row>
    <row r="157" spans="1:11" ht="15" customHeight="1" thickBot="1" x14ac:dyDescent="0.3">
      <c r="A157" s="23" t="s">
        <v>269</v>
      </c>
      <c r="B157" s="177" t="s">
        <v>270</v>
      </c>
      <c r="C157" s="96">
        <f>C133+C137+C144+C149+C155+C156</f>
        <v>46286295</v>
      </c>
      <c r="D157" s="96">
        <f>D133+D137+D144+D149+D155+D156</f>
        <v>58856832</v>
      </c>
      <c r="E157" s="193"/>
      <c r="F157" s="194"/>
      <c r="G157" s="194"/>
      <c r="H157" s="164">
        <f>'[1]1.1.sz.mell. '!C159</f>
        <v>726038434</v>
      </c>
      <c r="I157" s="195">
        <f>+I133+I137+I144+I149+I155+I156</f>
        <v>158856832</v>
      </c>
      <c r="J157" s="196">
        <f>+J133+J137+J144+J149+J155+J156</f>
        <v>0</v>
      </c>
      <c r="K157" s="196">
        <f>+K133+K137+K144+K149+K155+K156</f>
        <v>0</v>
      </c>
    </row>
    <row r="158" spans="1:11" s="29" customFormat="1" ht="12.95" customHeight="1" thickBot="1" x14ac:dyDescent="0.25">
      <c r="A158" s="197" t="s">
        <v>271</v>
      </c>
      <c r="B158" s="198" t="s">
        <v>272</v>
      </c>
      <c r="C158" s="96">
        <f>C157+C132</f>
        <v>2580759379</v>
      </c>
      <c r="D158" s="96">
        <f>D157+D132</f>
        <v>2823540880</v>
      </c>
      <c r="E158" s="193"/>
      <c r="F158" s="194"/>
      <c r="G158" s="194"/>
      <c r="H158" s="164">
        <f>'[1]1.1.sz.mell. '!C160</f>
        <v>4453796966</v>
      </c>
      <c r="I158" s="195">
        <f>+I132+I157</f>
        <v>1293098712</v>
      </c>
      <c r="J158" s="196">
        <f>+J132+J157</f>
        <v>227256857</v>
      </c>
      <c r="K158" s="196">
        <f>+K132+K157</f>
        <v>1626897847</v>
      </c>
    </row>
    <row r="162" ht="16.5" customHeight="1" x14ac:dyDescent="0.25"/>
  </sheetData>
  <mergeCells count="6">
    <mergeCell ref="A1:H1"/>
    <mergeCell ref="A3:H3"/>
    <mergeCell ref="A5:H5"/>
    <mergeCell ref="A6:B6"/>
    <mergeCell ref="A93:H93"/>
    <mergeCell ref="A94:B94"/>
  </mergeCells>
  <pageMargins left="0.7" right="0.7" top="0.75" bottom="0.75" header="0.3" footer="0.3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2020-03-02T13:24:33Z</dcterms:created>
  <dcterms:modified xsi:type="dcterms:W3CDTF">2020-03-02T13:24:34Z</dcterms:modified>
</cp:coreProperties>
</file>