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hsrvfile2\home\kormosv\MUNKA\D)  KÖLTSÉGVETÉS\2018\2018. évi beszámoló\"/>
    </mc:Choice>
  </mc:AlternateContent>
  <bookViews>
    <workbookView xWindow="120" yWindow="90" windowWidth="9440" windowHeight="4970" tabRatio="803" activeTab="1"/>
  </bookViews>
  <sheets>
    <sheet name="Bevételek" sheetId="4" r:id="rId1"/>
    <sheet name="Kiadások" sheetId="16" r:id="rId2"/>
    <sheet name="Mérleg" sheetId="5" r:id="rId3"/>
    <sheet name="a" sheetId="17" r:id="rId4"/>
    <sheet name="b" sheetId="18" r:id="rId5"/>
    <sheet name="c" sheetId="19" r:id="rId6"/>
    <sheet name="Munka1" sheetId="20" r:id="rId7"/>
  </sheets>
  <definedNames>
    <definedName name="_xlnm._FilterDatabase" localSheetId="0" hidden="1">Bevételek!$A$1:$L$579</definedName>
    <definedName name="_xlnm._FilterDatabase" localSheetId="1" hidden="1">Kiadások!$E$1:$E$2295</definedName>
    <definedName name="_xlnm.Print_Titles" localSheetId="0">Bevételek!$3:$6</definedName>
    <definedName name="_xlnm.Print_Titles" localSheetId="1">Kiadások!$3:$7</definedName>
    <definedName name="_xlnm.Print_Area" localSheetId="3">a!$A$1:$BF$50</definedName>
    <definedName name="_xlnm.Print_Area" localSheetId="0">Bevételek!$A$1:$AJ$579</definedName>
    <definedName name="_xlnm.Print_Area" localSheetId="1">Kiadások!$A$1:$AJ$2294</definedName>
    <definedName name="_xlnm.Print_Area" localSheetId="2">Mérleg!$A$1:$BF$56</definedName>
  </definedNames>
  <calcPr calcId="162913"/>
</workbook>
</file>

<file path=xl/calcChain.xml><?xml version="1.0" encoding="utf-8"?>
<calcChain xmlns="http://schemas.openxmlformats.org/spreadsheetml/2006/main">
  <c r="BF44" i="17" l="1"/>
  <c r="BF8" i="17"/>
  <c r="AJ187" i="4" l="1"/>
  <c r="AJ184" i="4"/>
  <c r="AJ183" i="4"/>
  <c r="AB11" i="18" l="1"/>
  <c r="AJ2108" i="16" l="1"/>
  <c r="AJ2102" i="16"/>
  <c r="AJ1971" i="16"/>
  <c r="AJ1965" i="16"/>
  <c r="AJ1959" i="16"/>
  <c r="AJ1958" i="16"/>
  <c r="AJ1952" i="16"/>
  <c r="AJ1946" i="16"/>
  <c r="AJ564" i="16"/>
  <c r="AJ478" i="16"/>
  <c r="AJ415" i="16"/>
  <c r="AJ353" i="16"/>
  <c r="AJ251" i="16"/>
  <c r="AJ171" i="16"/>
  <c r="AJ169" i="16"/>
  <c r="AJ167" i="16"/>
  <c r="AJ166" i="16"/>
  <c r="AJ165" i="16"/>
  <c r="AJ163" i="16"/>
  <c r="AJ162" i="16"/>
  <c r="AJ161" i="16"/>
  <c r="AJ160" i="16"/>
  <c r="AJ159" i="16"/>
  <c r="AJ158" i="16"/>
  <c r="AJ157" i="16"/>
  <c r="AJ156" i="16"/>
  <c r="AJ155" i="16"/>
  <c r="AJ154" i="16"/>
  <c r="AI133" i="4"/>
  <c r="AI169" i="16"/>
  <c r="AJ131" i="4"/>
  <c r="AJ127" i="4"/>
  <c r="AJ126" i="4"/>
  <c r="AJ125" i="4"/>
  <c r="AJ124" i="4"/>
  <c r="AJ123" i="4"/>
  <c r="AJ122" i="4"/>
  <c r="AJ121" i="4"/>
  <c r="AI129" i="4"/>
  <c r="AJ150" i="16" l="1"/>
  <c r="AJ148" i="16"/>
  <c r="AJ147" i="16"/>
  <c r="AJ145" i="16"/>
  <c r="AJ144" i="16"/>
  <c r="AJ143" i="16"/>
  <c r="AJ139" i="16"/>
  <c r="AJ137" i="16"/>
  <c r="AJ136" i="16"/>
  <c r="AJ134" i="16"/>
  <c r="AJ133" i="16"/>
  <c r="AJ132" i="16"/>
  <c r="AJ114" i="16"/>
  <c r="AJ115" i="16"/>
  <c r="AJ116" i="16"/>
  <c r="AJ117" i="16"/>
  <c r="AJ118" i="16"/>
  <c r="AJ119" i="16"/>
  <c r="AJ121" i="16"/>
  <c r="AJ123" i="16"/>
  <c r="AJ124" i="16"/>
  <c r="AJ125" i="16"/>
  <c r="AJ128" i="16"/>
  <c r="AJ103" i="16"/>
  <c r="AJ104" i="16"/>
  <c r="AJ105" i="16"/>
  <c r="AJ107" i="16"/>
  <c r="AJ110" i="16"/>
  <c r="AJ108" i="16"/>
  <c r="AJ92" i="16"/>
  <c r="AJ93" i="16"/>
  <c r="AJ94" i="16"/>
  <c r="AJ96" i="16"/>
  <c r="AJ99" i="16"/>
  <c r="AJ77" i="16"/>
  <c r="AJ78" i="16"/>
  <c r="AJ79" i="16"/>
  <c r="AJ80" i="16"/>
  <c r="AJ81" i="16"/>
  <c r="AJ82" i="16"/>
  <c r="AJ83" i="16"/>
  <c r="AJ85" i="16"/>
  <c r="AJ88" i="16"/>
  <c r="AJ86" i="16"/>
  <c r="AJ67" i="16"/>
  <c r="AJ68" i="16"/>
  <c r="AJ69" i="16"/>
  <c r="AJ73" i="16"/>
  <c r="AJ71" i="16"/>
  <c r="AJ56" i="16"/>
  <c r="AJ57" i="16"/>
  <c r="AJ58" i="16"/>
  <c r="AJ60" i="16"/>
  <c r="AJ63" i="16"/>
  <c r="AJ61" i="16"/>
  <c r="AJ46" i="16"/>
  <c r="AJ47" i="16"/>
  <c r="AJ48" i="16"/>
  <c r="AJ52" i="16"/>
  <c r="AJ50" i="16"/>
  <c r="AJ33" i="16"/>
  <c r="AJ34" i="16"/>
  <c r="AJ35" i="16"/>
  <c r="AJ37" i="16"/>
  <c r="AJ39" i="16"/>
  <c r="AJ42" i="16"/>
  <c r="AJ40" i="16"/>
  <c r="AJ22" i="16"/>
  <c r="AJ23" i="16"/>
  <c r="AJ24" i="16"/>
  <c r="AJ26" i="16"/>
  <c r="AJ29" i="16"/>
  <c r="AJ27" i="16"/>
  <c r="AI171" i="16"/>
  <c r="AI175" i="16"/>
  <c r="AJ175" i="16" s="1"/>
  <c r="AI150" i="16"/>
  <c r="AI139" i="16"/>
  <c r="AI128" i="16"/>
  <c r="AI110" i="16"/>
  <c r="AI99" i="16"/>
  <c r="AI88" i="16"/>
  <c r="AI73" i="16"/>
  <c r="AI173" i="16" s="1"/>
  <c r="AJ173" i="16" s="1"/>
  <c r="AI63" i="16"/>
  <c r="AI52" i="16"/>
  <c r="AI42" i="16"/>
  <c r="AI29" i="16"/>
  <c r="AJ18" i="16"/>
  <c r="AJ16" i="16"/>
  <c r="AJ14" i="16"/>
  <c r="AJ13" i="16"/>
  <c r="AJ12" i="16"/>
  <c r="AI18" i="16"/>
  <c r="AJ129" i="4"/>
  <c r="AJ118" i="4"/>
  <c r="AJ109" i="4"/>
  <c r="AJ98" i="4"/>
  <c r="AJ84" i="4"/>
  <c r="AJ75" i="4"/>
  <c r="AJ65" i="4"/>
  <c r="AJ55" i="4"/>
  <c r="AJ48" i="4"/>
  <c r="AJ41" i="4"/>
  <c r="AJ33" i="4"/>
  <c r="AJ24" i="4"/>
  <c r="AJ15" i="4"/>
  <c r="AJ133" i="4"/>
  <c r="AJ116" i="4"/>
  <c r="AJ115" i="4"/>
  <c r="AJ114" i="4"/>
  <c r="AJ113" i="4"/>
  <c r="AJ112" i="4"/>
  <c r="AJ107" i="4"/>
  <c r="AJ106" i="4"/>
  <c r="AJ105" i="4"/>
  <c r="AJ103" i="4"/>
  <c r="AJ102" i="4"/>
  <c r="AJ101" i="4"/>
  <c r="AJ96" i="4"/>
  <c r="AJ95" i="4"/>
  <c r="AJ92" i="4"/>
  <c r="AJ91" i="4"/>
  <c r="AJ90" i="4"/>
  <c r="AJ88" i="4"/>
  <c r="AJ87" i="4"/>
  <c r="AJ82" i="4"/>
  <c r="AJ81" i="4"/>
  <c r="AJ80" i="4"/>
  <c r="AJ79" i="4"/>
  <c r="AJ78" i="4"/>
  <c r="AJ73" i="4"/>
  <c r="AJ72" i="4"/>
  <c r="AJ71" i="4"/>
  <c r="AJ70" i="4"/>
  <c r="AJ69" i="4"/>
  <c r="AJ68" i="4"/>
  <c r="AJ63" i="4"/>
  <c r="AJ62" i="4"/>
  <c r="AJ60" i="4"/>
  <c r="AJ59" i="4"/>
  <c r="AJ58" i="4"/>
  <c r="AJ53" i="4"/>
  <c r="AJ52" i="4"/>
  <c r="AJ51" i="4"/>
  <c r="AJ46" i="4"/>
  <c r="AJ45" i="4"/>
  <c r="AJ44" i="4"/>
  <c r="AJ39" i="4"/>
  <c r="AJ38" i="4"/>
  <c r="AJ37" i="4"/>
  <c r="AJ36" i="4"/>
  <c r="AJ31" i="4"/>
  <c r="AJ29" i="4"/>
  <c r="AJ28" i="4"/>
  <c r="AJ27" i="4"/>
  <c r="AJ22" i="4"/>
  <c r="AJ21" i="4"/>
  <c r="AJ20" i="4"/>
  <c r="AJ19" i="4"/>
  <c r="AJ18" i="4"/>
  <c r="AJ11" i="4"/>
  <c r="AJ12" i="4"/>
  <c r="AJ13" i="4"/>
  <c r="AJ10" i="4"/>
  <c r="AI131" i="4"/>
  <c r="AI135" i="4"/>
  <c r="AJ135" i="4" s="1"/>
  <c r="AI109" i="4"/>
  <c r="AI98" i="4"/>
  <c r="AI84" i="4"/>
  <c r="AI75" i="4"/>
  <c r="AI65" i="4"/>
  <c r="AI55" i="4"/>
  <c r="AI48" i="4"/>
  <c r="AI41" i="4"/>
  <c r="AI33" i="4"/>
  <c r="AI24" i="4"/>
  <c r="AI15" i="4"/>
  <c r="AI177" i="16" l="1"/>
  <c r="AJ177" i="16" s="1"/>
  <c r="AI137" i="4"/>
  <c r="AJ137" i="4" s="1"/>
  <c r="AB2036" i="16"/>
  <c r="AC2036" i="16"/>
  <c r="AD2036" i="16"/>
  <c r="AE2036" i="16"/>
  <c r="AF2036" i="16"/>
  <c r="AG2036" i="16"/>
  <c r="AI2036" i="16"/>
  <c r="AH2036" i="16"/>
  <c r="AA1742" i="16"/>
  <c r="AB1750" i="16"/>
  <c r="AC1750" i="16"/>
  <c r="AD1750" i="16"/>
  <c r="AE1750" i="16"/>
  <c r="AF1750" i="16"/>
  <c r="AG1750" i="16"/>
  <c r="AH1750" i="16"/>
  <c r="AI1750" i="16"/>
  <c r="AB1752" i="16"/>
  <c r="AC1752" i="16"/>
  <c r="AD1752" i="16"/>
  <c r="AE1752" i="16"/>
  <c r="AF1752" i="16"/>
  <c r="AG1752" i="16"/>
  <c r="AH1752" i="16"/>
  <c r="AI1752" i="16"/>
  <c r="AC41" i="19" l="1"/>
  <c r="X41" i="19"/>
  <c r="Y41" i="19"/>
  <c r="Z41" i="19"/>
  <c r="AA41" i="19"/>
  <c r="AB41" i="19"/>
  <c r="W41" i="19"/>
  <c r="X39" i="19"/>
  <c r="Y39" i="19"/>
  <c r="Z39" i="19"/>
  <c r="AA39" i="19"/>
  <c r="AB39" i="19"/>
  <c r="W39" i="19"/>
  <c r="U41" i="18"/>
  <c r="V41" i="18"/>
  <c r="W41" i="18"/>
  <c r="X41" i="18"/>
  <c r="Y41" i="18"/>
  <c r="Z41" i="18"/>
  <c r="AA41" i="18"/>
  <c r="AB41" i="18"/>
  <c r="T41" i="18"/>
  <c r="X39" i="18"/>
  <c r="Y39" i="18"/>
  <c r="Z39" i="18"/>
  <c r="AA39" i="18"/>
  <c r="AB39" i="18"/>
  <c r="W39" i="18"/>
  <c r="AE522" i="4"/>
  <c r="AF522" i="4"/>
  <c r="AG522" i="4"/>
  <c r="AH522" i="4"/>
  <c r="AH528" i="4" s="1"/>
  <c r="AI522" i="4"/>
  <c r="AE524" i="4"/>
  <c r="AF524" i="4"/>
  <c r="AG524" i="4"/>
  <c r="AG528" i="4" s="1"/>
  <c r="AH524" i="4"/>
  <c r="AI524" i="4"/>
  <c r="AE526" i="4"/>
  <c r="AF526" i="4"/>
  <c r="AF528" i="4" s="1"/>
  <c r="AG526" i="4"/>
  <c r="AH526" i="4"/>
  <c r="AI526" i="4"/>
  <c r="AE528" i="4"/>
  <c r="AI528" i="4"/>
  <c r="AD524" i="4"/>
  <c r="AD528" i="4" s="1"/>
  <c r="AD526" i="4"/>
  <c r="BF34" i="19" l="1"/>
  <c r="BF31" i="19"/>
  <c r="BF29" i="19"/>
  <c r="BF21" i="19"/>
  <c r="AC49" i="19"/>
  <c r="AC47" i="19"/>
  <c r="AC46" i="19"/>
  <c r="AC43" i="19"/>
  <c r="AC39" i="19"/>
  <c r="AC35" i="19"/>
  <c r="AC34" i="19"/>
  <c r="AC33" i="19"/>
  <c r="AC37" i="19"/>
  <c r="AC24" i="19"/>
  <c r="AC15" i="19"/>
  <c r="AC13" i="19"/>
  <c r="BF49" i="18"/>
  <c r="BF48" i="18"/>
  <c r="BF46" i="18"/>
  <c r="BF36" i="18"/>
  <c r="BF34" i="18"/>
  <c r="BF31" i="18"/>
  <c r="BF29" i="18"/>
  <c r="BF27" i="18"/>
  <c r="BF23" i="18"/>
  <c r="BF21" i="18"/>
  <c r="AC39" i="18"/>
  <c r="AC41" i="18"/>
  <c r="AC43" i="18"/>
  <c r="AC45" i="18"/>
  <c r="AC46" i="18"/>
  <c r="AC47" i="18"/>
  <c r="AC48" i="18"/>
  <c r="AC49" i="18"/>
  <c r="AC37" i="18"/>
  <c r="AC35" i="18"/>
  <c r="AC36" i="18"/>
  <c r="AC31" i="18"/>
  <c r="AC32" i="18"/>
  <c r="AC33" i="18"/>
  <c r="AC34" i="18"/>
  <c r="AC30" i="18"/>
  <c r="AC29" i="18"/>
  <c r="AC26" i="18"/>
  <c r="AC24" i="18"/>
  <c r="AC25" i="18"/>
  <c r="AC21" i="18"/>
  <c r="U17" i="17"/>
  <c r="U18" i="17" s="1"/>
  <c r="U44" i="17" s="1"/>
  <c r="U50" i="17" s="1"/>
  <c r="V17" i="17"/>
  <c r="W17" i="17"/>
  <c r="X17" i="17"/>
  <c r="X18" i="17" s="1"/>
  <c r="X44" i="17" s="1"/>
  <c r="X50" i="17" s="1"/>
  <c r="Y17" i="17"/>
  <c r="Y18" i="17" s="1"/>
  <c r="Y44" i="17" s="1"/>
  <c r="Y50" i="17" s="1"/>
  <c r="Z17" i="17"/>
  <c r="V18" i="17"/>
  <c r="W18" i="17"/>
  <c r="Z18" i="17"/>
  <c r="AA17" i="17"/>
  <c r="AA18" i="17" s="1"/>
  <c r="AA44" i="17" s="1"/>
  <c r="AA50" i="17" s="1"/>
  <c r="AC29" i="17"/>
  <c r="AC32" i="17"/>
  <c r="AC34" i="17"/>
  <c r="AC37" i="17"/>
  <c r="BF21" i="5"/>
  <c r="BF23" i="5"/>
  <c r="BF27" i="5"/>
  <c r="BF29" i="5"/>
  <c r="BF31" i="5"/>
  <c r="BF34" i="5"/>
  <c r="BF36" i="5"/>
  <c r="BF46" i="5"/>
  <c r="BF48" i="5"/>
  <c r="BF49" i="5"/>
  <c r="AC24" i="5"/>
  <c r="AC25" i="5"/>
  <c r="AC26" i="5"/>
  <c r="AC29" i="5"/>
  <c r="AC30" i="5"/>
  <c r="AC31" i="5"/>
  <c r="AC32" i="5"/>
  <c r="AC33" i="5"/>
  <c r="AC34" i="5"/>
  <c r="AC35" i="5"/>
  <c r="AC36" i="5"/>
  <c r="AC37" i="5"/>
  <c r="AC43" i="5"/>
  <c r="AC45" i="5"/>
  <c r="AC46" i="5"/>
  <c r="AC47" i="5"/>
  <c r="AC48" i="5"/>
  <c r="AC49" i="5"/>
  <c r="AY48" i="18"/>
  <c r="AZ48" i="18"/>
  <c r="BA48" i="18"/>
  <c r="BB48" i="18"/>
  <c r="BB49" i="18" s="1"/>
  <c r="BC48" i="18"/>
  <c r="BC49" i="18" s="1"/>
  <c r="BD48" i="18"/>
  <c r="BE48" i="18"/>
  <c r="AX48" i="18"/>
  <c r="AY49" i="18"/>
  <c r="AZ10" i="18"/>
  <c r="BA10" i="18"/>
  <c r="BB10" i="18"/>
  <c r="BC10" i="18"/>
  <c r="BD10" i="18"/>
  <c r="BE10" i="18"/>
  <c r="BF10" i="18" s="1"/>
  <c r="AX10" i="18"/>
  <c r="AY10" i="18"/>
  <c r="AY18" i="18" s="1"/>
  <c r="U24" i="19"/>
  <c r="V24" i="19"/>
  <c r="W24" i="19"/>
  <c r="X24" i="19"/>
  <c r="X28" i="19" s="1"/>
  <c r="Y24" i="19"/>
  <c r="Z24" i="19"/>
  <c r="Z28" i="19" s="1"/>
  <c r="AA24" i="19"/>
  <c r="AB24" i="19"/>
  <c r="AA24" i="18"/>
  <c r="AA28" i="18" s="1"/>
  <c r="AB24" i="18"/>
  <c r="V24" i="18"/>
  <c r="V28" i="18" s="1"/>
  <c r="V48" i="18"/>
  <c r="W48" i="18"/>
  <c r="X48" i="18"/>
  <c r="Y48" i="18"/>
  <c r="Y49" i="18" s="1"/>
  <c r="Z48" i="18"/>
  <c r="AA48" i="18"/>
  <c r="AB48" i="18"/>
  <c r="U48" i="18"/>
  <c r="U49" i="18" s="1"/>
  <c r="X34" i="19"/>
  <c r="Y34" i="19"/>
  <c r="Y37" i="19" s="1"/>
  <c r="Z34" i="19"/>
  <c r="AA34" i="19"/>
  <c r="AA37" i="19" s="1"/>
  <c r="AB34" i="19"/>
  <c r="W34" i="19"/>
  <c r="W37" i="19" s="1"/>
  <c r="W35" i="18"/>
  <c r="W36" i="18"/>
  <c r="X34" i="18"/>
  <c r="X37" i="18" s="1"/>
  <c r="Y34" i="18"/>
  <c r="Z34" i="18"/>
  <c r="AA34" i="18"/>
  <c r="AA37" i="18" s="1"/>
  <c r="AB34" i="18"/>
  <c r="AB37" i="18" s="1"/>
  <c r="W34" i="18"/>
  <c r="AA42" i="18"/>
  <c r="W14" i="18"/>
  <c r="X14" i="18"/>
  <c r="Y14" i="18"/>
  <c r="Z14" i="18"/>
  <c r="AA14" i="18"/>
  <c r="AB14" i="18"/>
  <c r="AC14" i="18" s="1"/>
  <c r="V14" i="18"/>
  <c r="W11" i="18"/>
  <c r="X11" i="18"/>
  <c r="Y11" i="18"/>
  <c r="Z11" i="18"/>
  <c r="AA11" i="18"/>
  <c r="V11" i="18"/>
  <c r="V8" i="18"/>
  <c r="AX8" i="19"/>
  <c r="AY8" i="19"/>
  <c r="AZ8" i="19"/>
  <c r="BA8" i="19"/>
  <c r="BB8" i="19"/>
  <c r="BC8" i="19"/>
  <c r="BD8" i="19"/>
  <c r="BE8" i="19"/>
  <c r="BF8" i="19" s="1"/>
  <c r="AX9" i="19"/>
  <c r="AY9" i="19"/>
  <c r="AZ9" i="19"/>
  <c r="BA9" i="19"/>
  <c r="BB9" i="19"/>
  <c r="BC9" i="19"/>
  <c r="BD9" i="19"/>
  <c r="BE9" i="19"/>
  <c r="BF9" i="19" s="1"/>
  <c r="AX10" i="19"/>
  <c r="AY10" i="19"/>
  <c r="AZ10" i="19"/>
  <c r="BA10" i="19"/>
  <c r="BB10" i="19"/>
  <c r="BC10" i="19"/>
  <c r="BD10" i="19"/>
  <c r="BE10" i="19"/>
  <c r="AX18" i="19"/>
  <c r="AY18" i="19"/>
  <c r="AZ18" i="19"/>
  <c r="BA18" i="19"/>
  <c r="BB18" i="19"/>
  <c r="BC18" i="19"/>
  <c r="BD18" i="19"/>
  <c r="BE18" i="19"/>
  <c r="BF18" i="19" s="1"/>
  <c r="AX20" i="19"/>
  <c r="AY20" i="19"/>
  <c r="AZ20" i="19"/>
  <c r="BA20" i="19"/>
  <c r="BB20" i="19"/>
  <c r="BC20" i="19"/>
  <c r="BD20" i="19"/>
  <c r="AX21" i="19"/>
  <c r="AY21" i="19"/>
  <c r="AZ21" i="19"/>
  <c r="BA21" i="19"/>
  <c r="BB21" i="19"/>
  <c r="BC21" i="19"/>
  <c r="BD21" i="19"/>
  <c r="BE21" i="19"/>
  <c r="AX23" i="19"/>
  <c r="AY23" i="19"/>
  <c r="AZ23" i="19"/>
  <c r="BA23" i="19"/>
  <c r="BB23" i="19"/>
  <c r="BC23" i="19"/>
  <c r="BD23" i="19"/>
  <c r="BE23" i="19"/>
  <c r="AX25" i="19"/>
  <c r="AY25" i="19"/>
  <c r="AZ25" i="19"/>
  <c r="BA25" i="19"/>
  <c r="BB25" i="19"/>
  <c r="BC25" i="19"/>
  <c r="BD25" i="19"/>
  <c r="BE25" i="19"/>
  <c r="AX26" i="19"/>
  <c r="AY26" i="19"/>
  <c r="AZ26" i="19"/>
  <c r="BA26" i="19"/>
  <c r="BB26" i="19"/>
  <c r="BC26" i="19"/>
  <c r="BD26" i="19"/>
  <c r="BD44" i="19" s="1"/>
  <c r="BD50" i="19" s="1"/>
  <c r="BE26" i="19"/>
  <c r="AX29" i="19"/>
  <c r="AY29" i="19"/>
  <c r="AZ29" i="19"/>
  <c r="BA29" i="19"/>
  <c r="BB29" i="19"/>
  <c r="BC29" i="19"/>
  <c r="BD29" i="19"/>
  <c r="BE29" i="19"/>
  <c r="AX31" i="19"/>
  <c r="AY31" i="19"/>
  <c r="AZ31" i="19"/>
  <c r="BA31" i="19"/>
  <c r="BB31" i="19"/>
  <c r="BC31" i="19"/>
  <c r="BD31" i="19"/>
  <c r="BE31" i="19"/>
  <c r="AX34" i="19"/>
  <c r="AY34" i="19"/>
  <c r="AZ34" i="19"/>
  <c r="BA34" i="19"/>
  <c r="BB34" i="19"/>
  <c r="BC34" i="19"/>
  <c r="BD34" i="19"/>
  <c r="BE34" i="19"/>
  <c r="AX44" i="19"/>
  <c r="AY44" i="19"/>
  <c r="AY50" i="19" s="1"/>
  <c r="AZ44" i="19"/>
  <c r="AZ50" i="19" s="1"/>
  <c r="BA44" i="19"/>
  <c r="BB44" i="19"/>
  <c r="BB50" i="19" s="1"/>
  <c r="AX50" i="19"/>
  <c r="BA50" i="19"/>
  <c r="U8" i="19"/>
  <c r="V8" i="19"/>
  <c r="W8" i="19"/>
  <c r="X8" i="19"/>
  <c r="Y8" i="19"/>
  <c r="Z8" i="19"/>
  <c r="AA8" i="19"/>
  <c r="AB8" i="19"/>
  <c r="AC8" i="19" s="1"/>
  <c r="U11" i="19"/>
  <c r="V11" i="19"/>
  <c r="W11" i="19"/>
  <c r="X11" i="19"/>
  <c r="Y11" i="19"/>
  <c r="Z11" i="19"/>
  <c r="AA11" i="19"/>
  <c r="AB11" i="19"/>
  <c r="AC11" i="19" s="1"/>
  <c r="U13" i="19"/>
  <c r="V13" i="19"/>
  <c r="W13" i="19"/>
  <c r="X13" i="19"/>
  <c r="Y13" i="19"/>
  <c r="Z13" i="19"/>
  <c r="AA13" i="19"/>
  <c r="AB13" i="19"/>
  <c r="U15" i="19"/>
  <c r="V15" i="19"/>
  <c r="W15" i="19"/>
  <c r="X15" i="19"/>
  <c r="Y15" i="19"/>
  <c r="Z15" i="19"/>
  <c r="AA15" i="19"/>
  <c r="AA18" i="19" s="1"/>
  <c r="AB15" i="19"/>
  <c r="U17" i="19"/>
  <c r="V17" i="19"/>
  <c r="W17" i="19"/>
  <c r="X17" i="19"/>
  <c r="Y17" i="19"/>
  <c r="Z17" i="19"/>
  <c r="Z18" i="19" s="1"/>
  <c r="AA17" i="19"/>
  <c r="AB17" i="19"/>
  <c r="AC17" i="19" s="1"/>
  <c r="U18" i="19"/>
  <c r="V18" i="19"/>
  <c r="W18" i="19"/>
  <c r="X18" i="19"/>
  <c r="Y18" i="19"/>
  <c r="U20" i="19"/>
  <c r="V20" i="19"/>
  <c r="W20" i="19"/>
  <c r="X20" i="19"/>
  <c r="Y20" i="19"/>
  <c r="Z20" i="19"/>
  <c r="AA20" i="19"/>
  <c r="U21" i="19"/>
  <c r="V21" i="19"/>
  <c r="W21" i="19"/>
  <c r="X21" i="19"/>
  <c r="Y21" i="19"/>
  <c r="Z21" i="19"/>
  <c r="AA21" i="19"/>
  <c r="AB21" i="19"/>
  <c r="AC21" i="19" s="1"/>
  <c r="U22" i="19"/>
  <c r="V22" i="19"/>
  <c r="W22" i="19"/>
  <c r="X22" i="19"/>
  <c r="Y22" i="19"/>
  <c r="Z22" i="19"/>
  <c r="AA22" i="19"/>
  <c r="U28" i="19"/>
  <c r="V28" i="19"/>
  <c r="W28" i="19"/>
  <c r="Y28" i="19"/>
  <c r="AA28" i="19"/>
  <c r="U33" i="19"/>
  <c r="V33" i="19"/>
  <c r="W33" i="19"/>
  <c r="X33" i="19"/>
  <c r="Y33" i="19"/>
  <c r="Z33" i="19"/>
  <c r="AA33" i="19"/>
  <c r="AB33" i="19"/>
  <c r="U34" i="19"/>
  <c r="V34" i="19"/>
  <c r="U35" i="19"/>
  <c r="V35" i="19"/>
  <c r="W35" i="19"/>
  <c r="X35" i="19"/>
  <c r="Y35" i="19"/>
  <c r="Z35" i="19"/>
  <c r="AA35" i="19"/>
  <c r="AB35" i="19"/>
  <c r="U37" i="19"/>
  <c r="V37" i="19"/>
  <c r="X37" i="19"/>
  <c r="Z37" i="19"/>
  <c r="AB37" i="19"/>
  <c r="U38" i="19"/>
  <c r="V38" i="19"/>
  <c r="W38" i="19"/>
  <c r="X38" i="19"/>
  <c r="Y38" i="19"/>
  <c r="Z38" i="19"/>
  <c r="AA38" i="19"/>
  <c r="AB38" i="19"/>
  <c r="U39" i="19"/>
  <c r="V39" i="19"/>
  <c r="U42" i="19"/>
  <c r="V42" i="19"/>
  <c r="W42" i="19"/>
  <c r="X42" i="19"/>
  <c r="Y42" i="19"/>
  <c r="Z42" i="19"/>
  <c r="AA42" i="19"/>
  <c r="AB42" i="19"/>
  <c r="AC42" i="19" s="1"/>
  <c r="U43" i="19"/>
  <c r="V43" i="19"/>
  <c r="W43" i="19"/>
  <c r="X43" i="19"/>
  <c r="Y43" i="19"/>
  <c r="Z43" i="19"/>
  <c r="AA43" i="19"/>
  <c r="AB43" i="19"/>
  <c r="U44" i="19"/>
  <c r="U50" i="19" s="1"/>
  <c r="V44" i="19"/>
  <c r="U46" i="19"/>
  <c r="V46" i="19"/>
  <c r="W46" i="19"/>
  <c r="X46" i="19"/>
  <c r="Y46" i="19"/>
  <c r="Z46" i="19"/>
  <c r="AA46" i="19"/>
  <c r="AB46" i="19"/>
  <c r="U47" i="19"/>
  <c r="V47" i="19"/>
  <c r="W47" i="19"/>
  <c r="X47" i="19"/>
  <c r="Y47" i="19"/>
  <c r="Z47" i="19"/>
  <c r="AA47" i="19"/>
  <c r="AB47" i="19"/>
  <c r="U49" i="19"/>
  <c r="V49" i="19"/>
  <c r="W49" i="19"/>
  <c r="X49" i="19"/>
  <c r="Y49" i="19"/>
  <c r="Z49" i="19"/>
  <c r="AA49" i="19"/>
  <c r="AB49" i="19"/>
  <c r="V50" i="19"/>
  <c r="AX8" i="18"/>
  <c r="AY8" i="18"/>
  <c r="AZ8" i="18"/>
  <c r="BA8" i="18"/>
  <c r="BA18" i="18" s="1"/>
  <c r="BB8" i="18"/>
  <c r="BC8" i="18"/>
  <c r="BD8" i="18"/>
  <c r="BE8" i="18"/>
  <c r="BF8" i="18" s="1"/>
  <c r="AX9" i="18"/>
  <c r="AY9" i="18"/>
  <c r="AZ9" i="18"/>
  <c r="BA9" i="18"/>
  <c r="BB9" i="18"/>
  <c r="BC9" i="18"/>
  <c r="BD9" i="18"/>
  <c r="BE9" i="18"/>
  <c r="BF9" i="18" s="1"/>
  <c r="AX18" i="18"/>
  <c r="AZ18" i="18"/>
  <c r="BB18" i="18"/>
  <c r="BC18" i="18"/>
  <c r="BD18" i="18"/>
  <c r="AX20" i="18"/>
  <c r="AY20" i="18"/>
  <c r="AZ20" i="18"/>
  <c r="BA20" i="18"/>
  <c r="BB20" i="18"/>
  <c r="BC20" i="18"/>
  <c r="BD20" i="18"/>
  <c r="AX21" i="18"/>
  <c r="AY21" i="18"/>
  <c r="AZ21" i="18"/>
  <c r="BA21" i="18"/>
  <c r="BB21" i="18"/>
  <c r="BC21" i="18"/>
  <c r="BD21" i="18"/>
  <c r="BE21" i="18"/>
  <c r="AX23" i="18"/>
  <c r="AY23" i="18"/>
  <c r="AZ23" i="18"/>
  <c r="BA23" i="18"/>
  <c r="BB23" i="18"/>
  <c r="BC23" i="18"/>
  <c r="BD23" i="18"/>
  <c r="BE23" i="18"/>
  <c r="AX25" i="18"/>
  <c r="AY25" i="18"/>
  <c r="AZ25" i="18"/>
  <c r="BA25" i="18"/>
  <c r="BB25" i="18"/>
  <c r="BC25" i="18"/>
  <c r="BD25" i="18"/>
  <c r="BE25" i="18"/>
  <c r="BF25" i="18" s="1"/>
  <c r="BB26" i="18"/>
  <c r="AX27" i="18"/>
  <c r="AY27" i="18"/>
  <c r="AZ27" i="18"/>
  <c r="BA27" i="18"/>
  <c r="BB27" i="18"/>
  <c r="BC27" i="18"/>
  <c r="BD27" i="18"/>
  <c r="BE27" i="18"/>
  <c r="AX29" i="18"/>
  <c r="AY29" i="18"/>
  <c r="AZ29" i="18"/>
  <c r="BA29" i="18"/>
  <c r="BB29" i="18"/>
  <c r="BC29" i="18"/>
  <c r="BD29" i="18"/>
  <c r="BE29" i="18"/>
  <c r="AX31" i="18"/>
  <c r="AY31" i="18"/>
  <c r="AZ31" i="18"/>
  <c r="BA31" i="18"/>
  <c r="BB31" i="18"/>
  <c r="BC31" i="18"/>
  <c r="BD31" i="18"/>
  <c r="BE31" i="18"/>
  <c r="AX34" i="18"/>
  <c r="AY34" i="18"/>
  <c r="AZ34" i="18"/>
  <c r="BA34" i="18"/>
  <c r="BB34" i="18"/>
  <c r="BC34" i="18"/>
  <c r="BD34" i="18"/>
  <c r="BE34" i="18"/>
  <c r="AX36" i="18"/>
  <c r="AY36" i="18"/>
  <c r="AZ36" i="18"/>
  <c r="BA36" i="18"/>
  <c r="BB36" i="18"/>
  <c r="BC36" i="18"/>
  <c r="BD36" i="18"/>
  <c r="BE36" i="18"/>
  <c r="BB44" i="18"/>
  <c r="BB50" i="18" s="1"/>
  <c r="AX46" i="18"/>
  <c r="AY46" i="18"/>
  <c r="AZ46" i="18"/>
  <c r="BA46" i="18"/>
  <c r="BB46" i="18"/>
  <c r="BC46" i="18"/>
  <c r="BD46" i="18"/>
  <c r="BE46" i="18"/>
  <c r="BA49" i="18"/>
  <c r="BE49" i="18"/>
  <c r="AX49" i="18"/>
  <c r="AZ49" i="18"/>
  <c r="BD49" i="18"/>
  <c r="U8" i="18"/>
  <c r="W8" i="18"/>
  <c r="X8" i="18"/>
  <c r="Y8" i="18"/>
  <c r="Z8" i="18"/>
  <c r="AA8" i="18"/>
  <c r="AB8" i="18"/>
  <c r="AC8" i="18" s="1"/>
  <c r="U9" i="18"/>
  <c r="V9" i="18"/>
  <c r="W9" i="18"/>
  <c r="X9" i="18"/>
  <c r="Y9" i="18"/>
  <c r="Z9" i="18"/>
  <c r="AA9" i="18"/>
  <c r="AB9" i="18"/>
  <c r="AC9" i="18" s="1"/>
  <c r="U10" i="18"/>
  <c r="V10" i="18"/>
  <c r="W10" i="18"/>
  <c r="X10" i="18"/>
  <c r="Y10" i="18"/>
  <c r="Z10" i="18"/>
  <c r="AA10" i="18"/>
  <c r="AB10" i="18"/>
  <c r="AC10" i="18" s="1"/>
  <c r="U11" i="18"/>
  <c r="AC11" i="18"/>
  <c r="U13" i="18"/>
  <c r="V13" i="18"/>
  <c r="W13" i="18"/>
  <c r="X13" i="18"/>
  <c r="Y13" i="18"/>
  <c r="Z13" i="18"/>
  <c r="AA13" i="18"/>
  <c r="AB13" i="18"/>
  <c r="AC13" i="18" s="1"/>
  <c r="U14" i="18"/>
  <c r="U15" i="18"/>
  <c r="V15" i="18"/>
  <c r="W15" i="18"/>
  <c r="X15" i="18"/>
  <c r="Y15" i="18"/>
  <c r="Z15" i="18"/>
  <c r="AA15" i="18"/>
  <c r="AB15" i="18"/>
  <c r="AC15" i="18" s="1"/>
  <c r="U16" i="18"/>
  <c r="V16" i="18"/>
  <c r="W16" i="18"/>
  <c r="X16" i="18"/>
  <c r="Y16" i="18"/>
  <c r="Z16" i="18"/>
  <c r="AA16" i="18"/>
  <c r="AB16" i="18"/>
  <c r="AC16" i="18" s="1"/>
  <c r="U17" i="18"/>
  <c r="V17" i="18"/>
  <c r="W17" i="18"/>
  <c r="X17" i="18"/>
  <c r="Y17" i="18"/>
  <c r="Z17" i="18"/>
  <c r="AA17" i="18"/>
  <c r="AB17" i="18"/>
  <c r="AC17" i="18" s="1"/>
  <c r="U18" i="18"/>
  <c r="W18" i="18"/>
  <c r="X18" i="18"/>
  <c r="Y18" i="18"/>
  <c r="Z18" i="18"/>
  <c r="AA18" i="18"/>
  <c r="U20" i="18"/>
  <c r="V20" i="18"/>
  <c r="W20" i="18"/>
  <c r="X20" i="18"/>
  <c r="Y20" i="18"/>
  <c r="Z20" i="18"/>
  <c r="AA20" i="18"/>
  <c r="AB20" i="18"/>
  <c r="AC20" i="18" s="1"/>
  <c r="U21" i="18"/>
  <c r="V21" i="18"/>
  <c r="W21" i="18"/>
  <c r="X21" i="18"/>
  <c r="Y21" i="18"/>
  <c r="Z21" i="18"/>
  <c r="AA21" i="18"/>
  <c r="AB21" i="18"/>
  <c r="U22" i="18"/>
  <c r="V22" i="18"/>
  <c r="W22" i="18"/>
  <c r="X22" i="18"/>
  <c r="Y22" i="18"/>
  <c r="Z22" i="18"/>
  <c r="AA22" i="18"/>
  <c r="U24" i="18"/>
  <c r="W24" i="18"/>
  <c r="X24" i="18"/>
  <c r="Y24" i="18"/>
  <c r="Z24" i="18"/>
  <c r="U25" i="18"/>
  <c r="V25" i="18"/>
  <c r="W25" i="18"/>
  <c r="X25" i="18"/>
  <c r="Y25" i="18"/>
  <c r="Z25" i="18"/>
  <c r="AA25" i="18"/>
  <c r="AB25" i="18"/>
  <c r="U26" i="18"/>
  <c r="V26" i="18"/>
  <c r="W26" i="18"/>
  <c r="X26" i="18"/>
  <c r="Y26" i="18"/>
  <c r="Z26" i="18"/>
  <c r="AA26" i="18"/>
  <c r="AB26" i="18"/>
  <c r="U28" i="18"/>
  <c r="W28" i="18"/>
  <c r="X28" i="18"/>
  <c r="Y28" i="18"/>
  <c r="Z28" i="18"/>
  <c r="U29" i="18"/>
  <c r="V29" i="18"/>
  <c r="W29" i="18"/>
  <c r="X29" i="18"/>
  <c r="Y29" i="18"/>
  <c r="Z29" i="18"/>
  <c r="AA29" i="18"/>
  <c r="AB29" i="18"/>
  <c r="U30" i="18"/>
  <c r="V30" i="18"/>
  <c r="W30" i="18"/>
  <c r="X30" i="18"/>
  <c r="Y30" i="18"/>
  <c r="Z30" i="18"/>
  <c r="AA30" i="18"/>
  <c r="AB30" i="18"/>
  <c r="U31" i="18"/>
  <c r="V31" i="18"/>
  <c r="W31" i="18"/>
  <c r="X31" i="18"/>
  <c r="Y31" i="18"/>
  <c r="Z31" i="18"/>
  <c r="AA31" i="18"/>
  <c r="AB31" i="18"/>
  <c r="U32" i="18"/>
  <c r="V32" i="18"/>
  <c r="W32" i="18"/>
  <c r="X32" i="18"/>
  <c r="Y32" i="18"/>
  <c r="Z32" i="18"/>
  <c r="AA32" i="18"/>
  <c r="AB32" i="18"/>
  <c r="U33" i="18"/>
  <c r="V33" i="18"/>
  <c r="W33" i="18"/>
  <c r="X33" i="18"/>
  <c r="Y33" i="18"/>
  <c r="Z33" i="18"/>
  <c r="AA33" i="18"/>
  <c r="AB33" i="18"/>
  <c r="U34" i="18"/>
  <c r="V34" i="18"/>
  <c r="U35" i="18"/>
  <c r="V35" i="18"/>
  <c r="X35" i="18"/>
  <c r="Y35" i="18"/>
  <c r="Z35" i="18"/>
  <c r="AA35" i="18"/>
  <c r="AB35" i="18"/>
  <c r="U36" i="18"/>
  <c r="V36" i="18"/>
  <c r="X36" i="18"/>
  <c r="Y36" i="18"/>
  <c r="Z36" i="18"/>
  <c r="AA36" i="18"/>
  <c r="AB36" i="18"/>
  <c r="U37" i="18"/>
  <c r="V37" i="18"/>
  <c r="Y37" i="18"/>
  <c r="Z37" i="18"/>
  <c r="U39" i="18"/>
  <c r="V39" i="18"/>
  <c r="U42" i="18"/>
  <c r="U44" i="18" s="1"/>
  <c r="V42" i="18"/>
  <c r="W42" i="18"/>
  <c r="X42" i="18"/>
  <c r="Y42" i="18"/>
  <c r="Z42" i="18"/>
  <c r="AB42" i="18"/>
  <c r="U43" i="18"/>
  <c r="V43" i="18"/>
  <c r="W43" i="18"/>
  <c r="X43" i="18"/>
  <c r="Y43" i="18"/>
  <c r="Z43" i="18"/>
  <c r="AA43" i="18"/>
  <c r="AB43" i="18"/>
  <c r="U45" i="18"/>
  <c r="V45" i="18"/>
  <c r="W45" i="18"/>
  <c r="X45" i="18"/>
  <c r="Y45" i="18"/>
  <c r="Z45" i="18"/>
  <c r="AA45" i="18"/>
  <c r="AB45" i="18"/>
  <c r="U46" i="18"/>
  <c r="V46" i="18"/>
  <c r="W46" i="18"/>
  <c r="X46" i="18"/>
  <c r="Y46" i="18"/>
  <c r="Z46" i="18"/>
  <c r="AA46" i="18"/>
  <c r="AB46" i="18"/>
  <c r="U47" i="18"/>
  <c r="V47" i="18"/>
  <c r="W47" i="18"/>
  <c r="X47" i="18"/>
  <c r="Y47" i="18"/>
  <c r="Z47" i="18"/>
  <c r="AA47" i="18"/>
  <c r="AB47" i="18"/>
  <c r="V49" i="18"/>
  <c r="W49" i="18"/>
  <c r="X49" i="18"/>
  <c r="Z49" i="18"/>
  <c r="AA49" i="18"/>
  <c r="AB49" i="18"/>
  <c r="AX8" i="17"/>
  <c r="AY8" i="17"/>
  <c r="AZ8" i="17"/>
  <c r="BA8" i="17"/>
  <c r="BB8" i="17"/>
  <c r="BC8" i="17"/>
  <c r="BD8" i="17"/>
  <c r="BE8" i="17"/>
  <c r="AX18" i="17"/>
  <c r="AY18" i="17"/>
  <c r="AZ18" i="17"/>
  <c r="BA18" i="17"/>
  <c r="BB18" i="17"/>
  <c r="BC18" i="17"/>
  <c r="BD18" i="17"/>
  <c r="BE18" i="17"/>
  <c r="BF18" i="17" s="1"/>
  <c r="AX44" i="17"/>
  <c r="AY44" i="17"/>
  <c r="AZ44" i="17"/>
  <c r="BA44" i="17"/>
  <c r="BB44" i="17"/>
  <c r="BC44" i="17"/>
  <c r="BD44" i="17"/>
  <c r="BE44" i="17"/>
  <c r="BE50" i="17" s="1"/>
  <c r="BF50" i="17" s="1"/>
  <c r="AX50" i="17"/>
  <c r="AY50" i="17"/>
  <c r="AZ50" i="17"/>
  <c r="BA50" i="17"/>
  <c r="BB50" i="17"/>
  <c r="BC50" i="17"/>
  <c r="BD50" i="17"/>
  <c r="U12" i="17"/>
  <c r="V12" i="17"/>
  <c r="W12" i="17"/>
  <c r="X12" i="17"/>
  <c r="Y12" i="17"/>
  <c r="Z12" i="17"/>
  <c r="AA12" i="17"/>
  <c r="AB12" i="17"/>
  <c r="AC12" i="17" s="1"/>
  <c r="AB17" i="17"/>
  <c r="U28" i="17"/>
  <c r="V28" i="17"/>
  <c r="W28" i="17"/>
  <c r="X28" i="17"/>
  <c r="Y28" i="17"/>
  <c r="Z28" i="17"/>
  <c r="AA28" i="17"/>
  <c r="AB28" i="17"/>
  <c r="U29" i="17"/>
  <c r="V29" i="17"/>
  <c r="W29" i="17"/>
  <c r="X29" i="17"/>
  <c r="Y29" i="17"/>
  <c r="Z29" i="17"/>
  <c r="AA29" i="17"/>
  <c r="AB29" i="17"/>
  <c r="U32" i="17"/>
  <c r="V32" i="17"/>
  <c r="W32" i="17"/>
  <c r="X32" i="17"/>
  <c r="Y32" i="17"/>
  <c r="Z32" i="17"/>
  <c r="AA32" i="17"/>
  <c r="AB32" i="17"/>
  <c r="U34" i="17"/>
  <c r="V34" i="17"/>
  <c r="W34" i="17"/>
  <c r="X34" i="17"/>
  <c r="Y34" i="17"/>
  <c r="Z34" i="17"/>
  <c r="Z37" i="17" s="1"/>
  <c r="Z44" i="17" s="1"/>
  <c r="Z50" i="17" s="1"/>
  <c r="AA34" i="17"/>
  <c r="AB34" i="17"/>
  <c r="U37" i="17"/>
  <c r="V37" i="17"/>
  <c r="W37" i="17"/>
  <c r="X37" i="17"/>
  <c r="Y37" i="17"/>
  <c r="AA37" i="17"/>
  <c r="AB37" i="17"/>
  <c r="W44" i="17"/>
  <c r="W50" i="17" s="1"/>
  <c r="AB2286" i="16"/>
  <c r="AC2286" i="16"/>
  <c r="AD2286" i="16"/>
  <c r="AE2286" i="16"/>
  <c r="AF2286" i="16"/>
  <c r="AB2284" i="16"/>
  <c r="AC2284" i="16"/>
  <c r="AD2284" i="16"/>
  <c r="AE2284" i="16"/>
  <c r="AF2284" i="16"/>
  <c r="AB2249" i="16"/>
  <c r="AC2249" i="16"/>
  <c r="AD2249" i="16"/>
  <c r="AB110" i="16"/>
  <c r="AB173" i="16" s="1"/>
  <c r="AB177" i="16" s="1"/>
  <c r="AC110" i="16"/>
  <c r="AB42" i="16"/>
  <c r="AC42" i="16"/>
  <c r="AB139" i="16"/>
  <c r="AC139" i="16"/>
  <c r="AC136" i="16"/>
  <c r="AF136" i="16"/>
  <c r="AC115" i="16"/>
  <c r="AB169" i="16"/>
  <c r="AC169" i="16"/>
  <c r="AD169" i="16"/>
  <c r="AE169" i="16"/>
  <c r="AF169" i="16"/>
  <c r="AB171" i="16"/>
  <c r="AC171" i="16"/>
  <c r="AD171" i="16"/>
  <c r="AD177" i="16" s="1"/>
  <c r="AE171" i="16"/>
  <c r="AE177" i="16" s="1"/>
  <c r="AF171" i="16"/>
  <c r="AD173" i="16"/>
  <c r="AE173" i="16"/>
  <c r="AB175" i="16"/>
  <c r="AC175" i="16"/>
  <c r="AD175" i="16"/>
  <c r="AE175" i="16"/>
  <c r="AF175" i="16"/>
  <c r="AB18" i="17" l="1"/>
  <c r="AB44" i="17" s="1"/>
  <c r="AB50" i="17" s="1"/>
  <c r="AC50" i="17" s="1"/>
  <c r="BE18" i="18"/>
  <c r="BF18" i="18" s="1"/>
  <c r="AB18" i="19"/>
  <c r="AC18" i="19" s="1"/>
  <c r="AB18" i="18"/>
  <c r="AC18" i="18" s="1"/>
  <c r="AB22" i="18"/>
  <c r="AC22" i="18" s="1"/>
  <c r="BC44" i="19"/>
  <c r="BC50" i="19" s="1"/>
  <c r="BF26" i="19"/>
  <c r="BF25" i="19"/>
  <c r="X44" i="19"/>
  <c r="X50" i="19" s="1"/>
  <c r="U50" i="18"/>
  <c r="AC42" i="18"/>
  <c r="Y44" i="18"/>
  <c r="Y50" i="18" s="1"/>
  <c r="V44" i="17"/>
  <c r="V50" i="17" s="1"/>
  <c r="AC17" i="17"/>
  <c r="AC18" i="17"/>
  <c r="W44" i="19"/>
  <c r="W50" i="19" s="1"/>
  <c r="Y44" i="19"/>
  <c r="Y50" i="19" s="1"/>
  <c r="AA44" i="19"/>
  <c r="AA50" i="19" s="1"/>
  <c r="W37" i="18"/>
  <c r="W44" i="18" s="1"/>
  <c r="W50" i="18" s="1"/>
  <c r="X44" i="18"/>
  <c r="X50" i="18" s="1"/>
  <c r="AA44" i="18"/>
  <c r="AA50" i="18" s="1"/>
  <c r="Z44" i="18"/>
  <c r="Z50" i="18" s="1"/>
  <c r="V18" i="18"/>
  <c r="V44" i="18" s="1"/>
  <c r="V50" i="18" s="1"/>
  <c r="Z44" i="19"/>
  <c r="Z50" i="19" s="1"/>
  <c r="AC44" i="17" l="1"/>
  <c r="AB28" i="18"/>
  <c r="AC28" i="18" s="1"/>
  <c r="AB44" i="18"/>
  <c r="AB50" i="18" s="1"/>
  <c r="AC50" i="18" s="1"/>
  <c r="AD163" i="16"/>
  <c r="AI2288" i="16"/>
  <c r="AJ2286" i="16"/>
  <c r="AJ2284" i="16"/>
  <c r="AI2282" i="16"/>
  <c r="AI2286" i="16" s="1"/>
  <c r="AI2284" i="16"/>
  <c r="AJ2280" i="16"/>
  <c r="AJ2274" i="16"/>
  <c r="AI2276" i="16"/>
  <c r="AJ2268" i="16"/>
  <c r="AI2270" i="16"/>
  <c r="AJ2262" i="16"/>
  <c r="AI2264" i="16"/>
  <c r="AE2264" i="16"/>
  <c r="AJ2256" i="16"/>
  <c r="AI2258" i="16"/>
  <c r="AI2249" i="16"/>
  <c r="AJ2244" i="16"/>
  <c r="AJ2242" i="16"/>
  <c r="AG2245" i="16"/>
  <c r="AH2245" i="16"/>
  <c r="AB2247" i="16"/>
  <c r="AC2247" i="16"/>
  <c r="AD2247" i="16"/>
  <c r="AE2247" i="16"/>
  <c r="AF2247" i="16"/>
  <c r="AI2247" i="16"/>
  <c r="AA2247" i="16"/>
  <c r="AJ2207" i="16"/>
  <c r="AJ2205" i="16"/>
  <c r="AJ2203" i="16"/>
  <c r="AJ2199" i="16"/>
  <c r="AJ2197" i="16"/>
  <c r="AJ2193" i="16"/>
  <c r="AJ2187" i="16"/>
  <c r="AJ2191" i="16"/>
  <c r="AJ2185" i="16"/>
  <c r="AI2199" i="16"/>
  <c r="AI2201" i="16"/>
  <c r="AI2203" i="16"/>
  <c r="AI2205" i="16"/>
  <c r="AI2207" i="16"/>
  <c r="AI2193" i="16"/>
  <c r="AI2187" i="16"/>
  <c r="AB2176" i="16"/>
  <c r="AE2176" i="16"/>
  <c r="AB2174" i="16"/>
  <c r="AC2174" i="16"/>
  <c r="AD2174" i="16"/>
  <c r="AE2174" i="16"/>
  <c r="AF2174" i="16"/>
  <c r="AI2174" i="16"/>
  <c r="AC2178" i="16"/>
  <c r="AC2176" i="16" s="1"/>
  <c r="AD2178" i="16"/>
  <c r="AD2176" i="16" s="1"/>
  <c r="AE2178" i="16"/>
  <c r="AF2178" i="16"/>
  <c r="AF2176" i="16" s="1"/>
  <c r="AI2178" i="16"/>
  <c r="AB2178" i="16"/>
  <c r="AI2172" i="16"/>
  <c r="AE2172" i="16"/>
  <c r="AC2172" i="16"/>
  <c r="AA2172" i="16"/>
  <c r="X2172" i="16"/>
  <c r="T2172" i="16"/>
  <c r="R2172" i="16"/>
  <c r="Q2172" i="16"/>
  <c r="P2172" i="16"/>
  <c r="O2172" i="16"/>
  <c r="N2172" i="16"/>
  <c r="M2172" i="16"/>
  <c r="L2172" i="16"/>
  <c r="K2172" i="16"/>
  <c r="AG2170" i="16"/>
  <c r="AG2172" i="16" s="1"/>
  <c r="Z2170" i="16"/>
  <c r="Z2172" i="16" s="1"/>
  <c r="S2170" i="16"/>
  <c r="S2172" i="16" s="1"/>
  <c r="AI2166" i="16"/>
  <c r="AE2166" i="16"/>
  <c r="AC2166" i="16"/>
  <c r="AA2166" i="16"/>
  <c r="X2166" i="16"/>
  <c r="T2166" i="16"/>
  <c r="R2166" i="16"/>
  <c r="Q2166" i="16"/>
  <c r="P2166" i="16"/>
  <c r="O2166" i="16"/>
  <c r="N2166" i="16"/>
  <c r="M2166" i="16"/>
  <c r="L2166" i="16"/>
  <c r="K2166" i="16"/>
  <c r="AG2164" i="16"/>
  <c r="AH2164" i="16" s="1"/>
  <c r="Z2164" i="16"/>
  <c r="Z2166" i="16" s="1"/>
  <c r="S2164" i="16"/>
  <c r="S2166" i="16" s="1"/>
  <c r="AI2160" i="16"/>
  <c r="AE2160" i="16"/>
  <c r="AC2160" i="16"/>
  <c r="AA2160" i="16"/>
  <c r="X2160" i="16"/>
  <c r="T2160" i="16"/>
  <c r="R2160" i="16"/>
  <c r="Q2160" i="16"/>
  <c r="P2160" i="16"/>
  <c r="O2160" i="16"/>
  <c r="N2160" i="16"/>
  <c r="M2160" i="16"/>
  <c r="L2160" i="16"/>
  <c r="K2160" i="16"/>
  <c r="AG2158" i="16"/>
  <c r="AH2158" i="16" s="1"/>
  <c r="AJ2158" i="16" s="1"/>
  <c r="Z2158" i="16"/>
  <c r="Z2160" i="16" s="1"/>
  <c r="S2158" i="16"/>
  <c r="S2160" i="16" s="1"/>
  <c r="AC2154" i="16"/>
  <c r="AI2154" i="16"/>
  <c r="AE2154" i="16"/>
  <c r="X2154" i="16"/>
  <c r="T2154" i="16"/>
  <c r="R2154" i="16"/>
  <c r="Q2154" i="16"/>
  <c r="P2154" i="16"/>
  <c r="O2154" i="16"/>
  <c r="N2154" i="16"/>
  <c r="M2154" i="16"/>
  <c r="L2154" i="16"/>
  <c r="K2154" i="16"/>
  <c r="AG2152" i="16"/>
  <c r="AG2154" i="16" s="1"/>
  <c r="Z2152" i="16"/>
  <c r="Z2154" i="16" s="1"/>
  <c r="S2152" i="16"/>
  <c r="S2154" i="16" s="1"/>
  <c r="AI2148" i="16"/>
  <c r="AI2135" i="16"/>
  <c r="AI2123" i="16"/>
  <c r="AI2117" i="16"/>
  <c r="AI2108" i="16"/>
  <c r="AI2110" i="16" s="1"/>
  <c r="AE2108" i="16"/>
  <c r="AI2102" i="16"/>
  <c r="AE2102" i="16"/>
  <c r="AI2089" i="16"/>
  <c r="AI2083" i="16"/>
  <c r="AI2077" i="16"/>
  <c r="AI2065" i="16"/>
  <c r="AI2045" i="16"/>
  <c r="AI2047" i="16"/>
  <c r="AI2049" i="16" s="1"/>
  <c r="AB2032" i="16"/>
  <c r="AC2032" i="16"/>
  <c r="AD2032" i="16"/>
  <c r="AE2032" i="16"/>
  <c r="AF2032" i="16"/>
  <c r="AI2032" i="16"/>
  <c r="AA2032" i="16"/>
  <c r="AC44" i="18" l="1"/>
  <c r="AG2247" i="16"/>
  <c r="AH2170" i="16"/>
  <c r="AG2166" i="16"/>
  <c r="AJ2164" i="16"/>
  <c r="AH2166" i="16"/>
  <c r="AJ2166" i="16" s="1"/>
  <c r="AG2160" i="16"/>
  <c r="AH2160" i="16"/>
  <c r="AJ2160" i="16" s="1"/>
  <c r="AI2176" i="16"/>
  <c r="Z2032" i="16"/>
  <c r="W2032" i="16"/>
  <c r="T2032" i="16"/>
  <c r="S2032" i="16"/>
  <c r="R2032" i="16"/>
  <c r="Q2032" i="16"/>
  <c r="P2032" i="16"/>
  <c r="O2032" i="16"/>
  <c r="N2032" i="16"/>
  <c r="M2032" i="16"/>
  <c r="L2032" i="16"/>
  <c r="AG2030" i="16"/>
  <c r="W2026" i="16"/>
  <c r="AI2024" i="16"/>
  <c r="AI2026" i="16" s="1"/>
  <c r="AF2024" i="16"/>
  <c r="AE2024" i="16"/>
  <c r="AD2024" i="16"/>
  <c r="AC2024" i="16"/>
  <c r="AB2024" i="16"/>
  <c r="AA2024" i="16"/>
  <c r="AA2026" i="16" s="1"/>
  <c r="Z2024" i="16"/>
  <c r="Z2026" i="16" s="1"/>
  <c r="T2024" i="16"/>
  <c r="T2026" i="16" s="1"/>
  <c r="S2024" i="16"/>
  <c r="S2026" i="16" s="1"/>
  <c r="R2024" i="16"/>
  <c r="R2026" i="16" s="1"/>
  <c r="Q2024" i="16"/>
  <c r="Q2026" i="16" s="1"/>
  <c r="P2024" i="16"/>
  <c r="P2026" i="16" s="1"/>
  <c r="O2024" i="16"/>
  <c r="O2026" i="16" s="1"/>
  <c r="N2024" i="16"/>
  <c r="N2026" i="16" s="1"/>
  <c r="M2024" i="16"/>
  <c r="M2026" i="16" s="1"/>
  <c r="L2024" i="16"/>
  <c r="L2026" i="16" s="1"/>
  <c r="K2024" i="16"/>
  <c r="K2026" i="16" s="1"/>
  <c r="K2032" i="16" s="1"/>
  <c r="J2024" i="16"/>
  <c r="AG2022" i="16"/>
  <c r="AH2022" i="16" s="1"/>
  <c r="AG2021" i="16"/>
  <c r="AH2021" i="16" s="1"/>
  <c r="AG2020" i="16"/>
  <c r="AH2020" i="16" s="1"/>
  <c r="AI2016" i="16"/>
  <c r="AF2016" i="16"/>
  <c r="AE2016" i="16"/>
  <c r="AD2016" i="16"/>
  <c r="AC2016" i="16"/>
  <c r="AB2016" i="16"/>
  <c r="AA2016" i="16"/>
  <c r="Z2016" i="16"/>
  <c r="T2016" i="16"/>
  <c r="S2016" i="16"/>
  <c r="R2016" i="16"/>
  <c r="Q2016" i="16"/>
  <c r="P2016" i="16"/>
  <c r="O2016" i="16"/>
  <c r="N2016" i="16"/>
  <c r="M2016" i="16"/>
  <c r="L2016" i="16"/>
  <c r="K2016" i="16"/>
  <c r="J2016" i="16"/>
  <c r="AG2014" i="16"/>
  <c r="AH2014" i="16" s="1"/>
  <c r="AG2012" i="16"/>
  <c r="AH2012" i="16" s="1"/>
  <c r="AI2008" i="16"/>
  <c r="AF2008" i="16"/>
  <c r="AE2008" i="16"/>
  <c r="AD2008" i="16"/>
  <c r="AC2008" i="16"/>
  <c r="AB2008" i="16"/>
  <c r="AA2008" i="16"/>
  <c r="Z2008" i="16"/>
  <c r="T2008" i="16"/>
  <c r="S2008" i="16"/>
  <c r="R2008" i="16"/>
  <c r="Q2008" i="16"/>
  <c r="P2008" i="16"/>
  <c r="O2008" i="16"/>
  <c r="N2008" i="16"/>
  <c r="M2008" i="16"/>
  <c r="L2008" i="16"/>
  <c r="K2008" i="16"/>
  <c r="J2008" i="16"/>
  <c r="AG2006" i="16"/>
  <c r="AH2006" i="16" s="1"/>
  <c r="AG2004" i="16"/>
  <c r="AH2004" i="16" s="1"/>
  <c r="AI2000" i="16"/>
  <c r="AF2000" i="16"/>
  <c r="AE2000" i="16"/>
  <c r="AD2000" i="16"/>
  <c r="AC2000" i="16"/>
  <c r="AB2000" i="16"/>
  <c r="AA2000" i="16"/>
  <c r="T2000" i="16"/>
  <c r="R2000" i="16"/>
  <c r="Q2000" i="16"/>
  <c r="P2000" i="16"/>
  <c r="O2000" i="16"/>
  <c r="N2000" i="16"/>
  <c r="M2000" i="16"/>
  <c r="L2000" i="16"/>
  <c r="K2000" i="16"/>
  <c r="J2000" i="16"/>
  <c r="AG1998" i="16"/>
  <c r="AG2000" i="16" s="1"/>
  <c r="Z1998" i="16"/>
  <c r="Z2000" i="16" s="1"/>
  <c r="S1998" i="16"/>
  <c r="S2000" i="16" s="1"/>
  <c r="AI1994" i="16"/>
  <c r="AF1994" i="16"/>
  <c r="AE1994" i="16"/>
  <c r="AD1994" i="16"/>
  <c r="AC1994" i="16"/>
  <c r="AB1994" i="16"/>
  <c r="AA1994" i="16"/>
  <c r="T1994" i="16"/>
  <c r="R1994" i="16"/>
  <c r="Q1994" i="16"/>
  <c r="P1994" i="16"/>
  <c r="O1994" i="16"/>
  <c r="N1994" i="16"/>
  <c r="M1994" i="16"/>
  <c r="L1994" i="16"/>
  <c r="K1994" i="16"/>
  <c r="J1994" i="16"/>
  <c r="AG1992" i="16"/>
  <c r="AG1994" i="16" s="1"/>
  <c r="Z1992" i="16"/>
  <c r="Z1994" i="16" s="1"/>
  <c r="S1992" i="16"/>
  <c r="S1994" i="16" s="1"/>
  <c r="AB1988" i="16"/>
  <c r="AC1988" i="16"/>
  <c r="AD1988" i="16"/>
  <c r="AE1988" i="16"/>
  <c r="AF1988" i="16"/>
  <c r="AI1988" i="16"/>
  <c r="AA1988" i="16"/>
  <c r="Z1988" i="16"/>
  <c r="T1988" i="16"/>
  <c r="S1988" i="16"/>
  <c r="R1988" i="16"/>
  <c r="Q1988" i="16"/>
  <c r="P1988" i="16"/>
  <c r="O1988" i="16"/>
  <c r="N1988" i="16"/>
  <c r="M1988" i="16"/>
  <c r="L1988" i="16"/>
  <c r="K1988" i="16"/>
  <c r="J1988" i="16"/>
  <c r="AG1986" i="16"/>
  <c r="AH1986" i="16" s="1"/>
  <c r="AG1984" i="16"/>
  <c r="AH1984" i="16" s="1"/>
  <c r="AB1980" i="16"/>
  <c r="AB2026" i="16" s="1"/>
  <c r="AC1980" i="16"/>
  <c r="AD1980" i="16"/>
  <c r="AE1980" i="16"/>
  <c r="AF1980" i="16"/>
  <c r="AI1980" i="16"/>
  <c r="AA1980" i="16"/>
  <c r="T1980" i="16"/>
  <c r="R1980" i="16"/>
  <c r="Q1980" i="16"/>
  <c r="P1980" i="16"/>
  <c r="O1980" i="16"/>
  <c r="N1980" i="16"/>
  <c r="M1980" i="16"/>
  <c r="L1980" i="16"/>
  <c r="K1980" i="16"/>
  <c r="J1980" i="16"/>
  <c r="AG1978" i="16"/>
  <c r="Z1978" i="16"/>
  <c r="Z1980" i="16" s="1"/>
  <c r="S1978" i="16"/>
  <c r="S1980" i="16" s="1"/>
  <c r="AI1973" i="16"/>
  <c r="AI1967" i="16"/>
  <c r="AI1961" i="16"/>
  <c r="AI1954" i="16"/>
  <c r="AI1948" i="16"/>
  <c r="AG2280" i="16"/>
  <c r="AG2274" i="16"/>
  <c r="AG2268" i="16"/>
  <c r="AG2262" i="16"/>
  <c r="AH2262" i="16" s="1"/>
  <c r="AG2256" i="16"/>
  <c r="AG2244" i="16"/>
  <c r="AG2243" i="16"/>
  <c r="AG2242" i="16"/>
  <c r="AG2232" i="16"/>
  <c r="AG2231" i="16"/>
  <c r="AG2230" i="16"/>
  <c r="AG2229" i="16"/>
  <c r="AG2228" i="16"/>
  <c r="AG2227" i="16"/>
  <c r="AH2227" i="16" s="1"/>
  <c r="AG2226" i="16"/>
  <c r="AG2225" i="16"/>
  <c r="AG2224" i="16"/>
  <c r="AG2223" i="16"/>
  <c r="AG2222" i="16"/>
  <c r="AG2221" i="16"/>
  <c r="AG2220" i="16"/>
  <c r="AG2219" i="16"/>
  <c r="AG2218" i="16"/>
  <c r="AG2217" i="16"/>
  <c r="AG2216" i="16"/>
  <c r="AG2215" i="16"/>
  <c r="AG2214" i="16"/>
  <c r="AG2213" i="16"/>
  <c r="AG2212" i="16"/>
  <c r="AG2211" i="16"/>
  <c r="AG2197" i="16"/>
  <c r="AG2191" i="16"/>
  <c r="AG2185" i="16"/>
  <c r="AG2146" i="16"/>
  <c r="AG2140" i="16"/>
  <c r="AG2133" i="16"/>
  <c r="AG2127" i="16"/>
  <c r="AG2121" i="16"/>
  <c r="AG2115" i="16"/>
  <c r="AG2174" i="16" s="1"/>
  <c r="AG2114" i="16"/>
  <c r="AG2106" i="16"/>
  <c r="AG2100" i="16"/>
  <c r="AG2093" i="16"/>
  <c r="AG2087" i="16"/>
  <c r="AG2081" i="16"/>
  <c r="AG2075" i="16"/>
  <c r="AG2069" i="16"/>
  <c r="AG2063" i="16"/>
  <c r="AG2043" i="16"/>
  <c r="AG1971" i="16"/>
  <c r="AG1965" i="16"/>
  <c r="AG1959" i="16"/>
  <c r="AG1958" i="16"/>
  <c r="AG1952" i="16"/>
  <c r="AG1946" i="16"/>
  <c r="AG1940" i="16"/>
  <c r="AI1936" i="16"/>
  <c r="AG1934" i="16"/>
  <c r="AI1930" i="16"/>
  <c r="AE1930" i="16"/>
  <c r="AG1928" i="16"/>
  <c r="AI1924" i="16"/>
  <c r="AG1922" i="16"/>
  <c r="AI1918" i="16"/>
  <c r="AG1916" i="16"/>
  <c r="AI1912" i="16"/>
  <c r="AG1910" i="16"/>
  <c r="AI1906" i="16"/>
  <c r="AG1904" i="16"/>
  <c r="AG1902" i="16"/>
  <c r="AI1898" i="16"/>
  <c r="AG1896" i="16"/>
  <c r="AI1892" i="16"/>
  <c r="AG1890" i="16"/>
  <c r="AG1888" i="16"/>
  <c r="AI1884" i="16"/>
  <c r="AF1884" i="16"/>
  <c r="AG1882" i="16"/>
  <c r="AG1884" i="16" s="1"/>
  <c r="AI1878" i="16"/>
  <c r="AE1878" i="16"/>
  <c r="AI1868" i="16"/>
  <c r="AG1866" i="16"/>
  <c r="AH1866" i="16" s="1"/>
  <c r="AJ1866" i="16" s="1"/>
  <c r="AI1857" i="16"/>
  <c r="AI1851" i="16"/>
  <c r="AG1876" i="16"/>
  <c r="AG1874" i="16"/>
  <c r="AG1873" i="16"/>
  <c r="AG1872" i="16"/>
  <c r="AG1865" i="16"/>
  <c r="AG1863" i="16"/>
  <c r="AG1862" i="16"/>
  <c r="AG1861" i="16"/>
  <c r="AG1855" i="16"/>
  <c r="AG1849" i="16"/>
  <c r="AG1848" i="16"/>
  <c r="AH1848" i="16" s="1"/>
  <c r="AG1847" i="16"/>
  <c r="AG1841" i="16"/>
  <c r="AB1851" i="16"/>
  <c r="AC1851" i="16"/>
  <c r="AD1851" i="16"/>
  <c r="AE1851" i="16"/>
  <c r="AF1851" i="16"/>
  <c r="AI1843" i="16"/>
  <c r="AI1837" i="16"/>
  <c r="AG1835" i="16"/>
  <c r="AI1831" i="16"/>
  <c r="AG1829" i="16"/>
  <c r="AC1825" i="16"/>
  <c r="AG1823" i="16"/>
  <c r="AG1821" i="16"/>
  <c r="AI1817" i="16"/>
  <c r="AG1815" i="16"/>
  <c r="AI1811" i="16"/>
  <c r="AG1809" i="16"/>
  <c r="AG1807" i="16"/>
  <c r="AG1806" i="16"/>
  <c r="AI1802" i="16"/>
  <c r="AB1802" i="16"/>
  <c r="AC1802" i="16"/>
  <c r="AG1800" i="16"/>
  <c r="AI1794" i="16"/>
  <c r="AE1794" i="16"/>
  <c r="AE1788" i="16"/>
  <c r="AI1788" i="16"/>
  <c r="AI1782" i="16"/>
  <c r="AI1774" i="16"/>
  <c r="AI1767" i="16"/>
  <c r="AE1767" i="16"/>
  <c r="AI1761" i="16"/>
  <c r="AI1748" i="16"/>
  <c r="AG1738" i="16"/>
  <c r="AH1738" i="16" s="1"/>
  <c r="AF1742" i="16"/>
  <c r="AE1740" i="16"/>
  <c r="R1740" i="16"/>
  <c r="Q1740" i="16"/>
  <c r="P1740" i="16"/>
  <c r="O1740" i="16"/>
  <c r="N1740" i="16"/>
  <c r="M1740" i="16"/>
  <c r="K1740" i="16"/>
  <c r="J1740" i="16"/>
  <c r="Z1738" i="16"/>
  <c r="Z1740" i="16" s="1"/>
  <c r="S1738" i="16"/>
  <c r="S1740" i="16" s="1"/>
  <c r="L1740" i="16"/>
  <c r="AI1734" i="16"/>
  <c r="AI1728" i="16"/>
  <c r="AD1728" i="16"/>
  <c r="AI1718" i="16"/>
  <c r="AD1718" i="16"/>
  <c r="AD1710" i="16"/>
  <c r="AI1710" i="16"/>
  <c r="AI1702" i="16"/>
  <c r="AE1702" i="16"/>
  <c r="AD1702" i="16"/>
  <c r="AI1694" i="16"/>
  <c r="AI1686" i="16"/>
  <c r="AD1686" i="16"/>
  <c r="AI1678" i="16"/>
  <c r="AD1678" i="16"/>
  <c r="AI1670" i="16"/>
  <c r="AE1670" i="16"/>
  <c r="AD1670" i="16"/>
  <c r="AI1662" i="16"/>
  <c r="AD1654" i="16"/>
  <c r="AI1654" i="16"/>
  <c r="AI1646" i="16"/>
  <c r="AI1638" i="16"/>
  <c r="AI1630" i="16"/>
  <c r="AE1630" i="16"/>
  <c r="AD1630" i="16"/>
  <c r="AE1622" i="16"/>
  <c r="AI1622" i="16"/>
  <c r="AI1614" i="16"/>
  <c r="AI1606" i="16"/>
  <c r="AD1597" i="16"/>
  <c r="AF1597" i="16"/>
  <c r="AC1595" i="16"/>
  <c r="AB1595" i="16"/>
  <c r="AB1597" i="16" s="1"/>
  <c r="AB1754" i="16" s="1"/>
  <c r="AI1595" i="16"/>
  <c r="AG1589" i="16"/>
  <c r="AH1589" i="16" s="1"/>
  <c r="AG1590" i="16"/>
  <c r="AH1590" i="16" s="1"/>
  <c r="AG1591" i="16"/>
  <c r="AG1592" i="16"/>
  <c r="AH1592" i="16" s="1"/>
  <c r="AI1585" i="16"/>
  <c r="AE1577" i="16"/>
  <c r="AC1577" i="16"/>
  <c r="AI1577" i="16"/>
  <c r="AI1569" i="16"/>
  <c r="AE1569" i="16"/>
  <c r="AE1597" i="16" s="1"/>
  <c r="AC1569" i="16"/>
  <c r="AI1561" i="16"/>
  <c r="AI1421" i="16"/>
  <c r="AI1538" i="16"/>
  <c r="AI1528" i="16"/>
  <c r="AE1528" i="16"/>
  <c r="AI1520" i="16"/>
  <c r="AE1520" i="16"/>
  <c r="AD1520" i="16"/>
  <c r="AI1512" i="16"/>
  <c r="AD1512" i="16"/>
  <c r="AI1504" i="16"/>
  <c r="AG1499" i="16"/>
  <c r="AH1499" i="16" s="1"/>
  <c r="AG1501" i="16"/>
  <c r="AG1502" i="16"/>
  <c r="AH1502" i="16" s="1"/>
  <c r="AD1504" i="16"/>
  <c r="AE1504" i="16"/>
  <c r="AI1494" i="16"/>
  <c r="AE1494" i="16"/>
  <c r="AI1486" i="16"/>
  <c r="AI1471" i="16"/>
  <c r="AI1465" i="16"/>
  <c r="AI1459" i="16"/>
  <c r="AE1459" i="16"/>
  <c r="AI1453" i="16"/>
  <c r="AI1441" i="16"/>
  <c r="AI1435" i="16"/>
  <c r="AE1435" i="16"/>
  <c r="AI1429" i="16"/>
  <c r="AE1421" i="16"/>
  <c r="AI1415" i="16"/>
  <c r="AB1258" i="16"/>
  <c r="AB1289" i="16" s="1"/>
  <c r="AB1407" i="16" s="1"/>
  <c r="AC1258" i="16"/>
  <c r="AC1289" i="16" s="1"/>
  <c r="AD1258" i="16"/>
  <c r="AD1289" i="16" s="1"/>
  <c r="AB1405" i="16"/>
  <c r="AC1405" i="16"/>
  <c r="AD1405" i="16"/>
  <c r="AI1405" i="16"/>
  <c r="AI1383" i="16"/>
  <c r="AI1377" i="16"/>
  <c r="AE1371" i="16"/>
  <c r="AI1371" i="16"/>
  <c r="AI1363" i="16"/>
  <c r="AI1357" i="16"/>
  <c r="AE1357" i="16"/>
  <c r="AI1351" i="16"/>
  <c r="AI1339" i="16"/>
  <c r="AI1333" i="16"/>
  <c r="AI1327" i="16"/>
  <c r="AE1327" i="16"/>
  <c r="AI1316" i="16"/>
  <c r="AI1310" i="16"/>
  <c r="AI1304" i="16"/>
  <c r="AG1296" i="16"/>
  <c r="AH1296" i="16" s="1"/>
  <c r="AE1298" i="16"/>
  <c r="AI1298" i="16"/>
  <c r="AI1287" i="16"/>
  <c r="AI1281" i="16"/>
  <c r="AE1281" i="16"/>
  <c r="AI1274" i="16"/>
  <c r="AE1274" i="16"/>
  <c r="AI1268" i="16"/>
  <c r="AE1268" i="16"/>
  <c r="AI1258" i="16"/>
  <c r="AG1255" i="16"/>
  <c r="AI1248" i="16"/>
  <c r="AD711" i="16"/>
  <c r="AD1230" i="16"/>
  <c r="AB1240" i="16"/>
  <c r="AB1236" i="16"/>
  <c r="AE1236" i="16"/>
  <c r="AA1236" i="16"/>
  <c r="R1236" i="16"/>
  <c r="Q1236" i="16"/>
  <c r="P1236" i="16"/>
  <c r="O1236" i="16"/>
  <c r="N1236" i="16"/>
  <c r="M1236" i="16"/>
  <c r="L1236" i="16"/>
  <c r="J1236" i="16"/>
  <c r="AG1234" i="16"/>
  <c r="AH1234" i="16" s="1"/>
  <c r="Z1234" i="16"/>
  <c r="Z1236" i="16" s="1"/>
  <c r="S1234" i="16"/>
  <c r="T1234" i="16" s="1"/>
  <c r="T1236" i="16" s="1"/>
  <c r="AE1230" i="16"/>
  <c r="R1230" i="16"/>
  <c r="Q1230" i="16"/>
  <c r="P1230" i="16"/>
  <c r="O1230" i="16"/>
  <c r="N1230" i="16"/>
  <c r="M1230" i="16"/>
  <c r="L1230" i="16"/>
  <c r="J1230" i="16"/>
  <c r="AG1228" i="16"/>
  <c r="Z1228" i="16"/>
  <c r="S1228" i="16"/>
  <c r="S1230" i="16" s="1"/>
  <c r="AI1224" i="16"/>
  <c r="AI1218" i="16"/>
  <c r="AI1212" i="16"/>
  <c r="AI1205" i="16"/>
  <c r="AF1205" i="16"/>
  <c r="AE1205" i="16"/>
  <c r="AI1197" i="16"/>
  <c r="AI1191" i="16"/>
  <c r="AI1183" i="16"/>
  <c r="AE1183" i="16"/>
  <c r="AI1177" i="16"/>
  <c r="AE1177" i="16"/>
  <c r="AI1170" i="16"/>
  <c r="AI1163" i="16"/>
  <c r="AF1163" i="16"/>
  <c r="AE1163" i="16"/>
  <c r="AG1159" i="16"/>
  <c r="AH1159" i="16" s="1"/>
  <c r="AG1160" i="16"/>
  <c r="AH1160" i="16" s="1"/>
  <c r="AI1155" i="16"/>
  <c r="AI1139" i="16"/>
  <c r="AE1139" i="16"/>
  <c r="AI1133" i="16"/>
  <c r="AI1127" i="16"/>
  <c r="AI1121" i="16"/>
  <c r="AI1115" i="16"/>
  <c r="AE1115" i="16"/>
  <c r="AI1109" i="16"/>
  <c r="AE1095" i="16"/>
  <c r="AB1103" i="16"/>
  <c r="AC1103" i="16"/>
  <c r="AF1103" i="16"/>
  <c r="AI1101" i="16"/>
  <c r="AE1101" i="16"/>
  <c r="AG1099" i="16"/>
  <c r="AG1101" i="16" s="1"/>
  <c r="Z1099" i="16"/>
  <c r="S1099" i="16"/>
  <c r="T1099" i="16" s="1"/>
  <c r="AD1095" i="16"/>
  <c r="AI1095" i="16"/>
  <c r="AI1087" i="16"/>
  <c r="AD1087" i="16"/>
  <c r="AE1087" i="16"/>
  <c r="AI1079" i="16"/>
  <c r="AE1079" i="16"/>
  <c r="AD1079" i="16"/>
  <c r="AI1071" i="16"/>
  <c r="AI1064" i="16"/>
  <c r="AI1057" i="16"/>
  <c r="AI1051" i="16"/>
  <c r="AI1045" i="16"/>
  <c r="AE1037" i="16"/>
  <c r="AE1031" i="16"/>
  <c r="AI1037" i="16"/>
  <c r="AI1031" i="16"/>
  <c r="AI1025" i="16"/>
  <c r="AE1025" i="16"/>
  <c r="AE1039" i="16" s="1"/>
  <c r="AI1019" i="16"/>
  <c r="AI1013" i="16"/>
  <c r="AI1006" i="16"/>
  <c r="AI1000" i="16"/>
  <c r="AI994" i="16"/>
  <c r="AI988" i="16"/>
  <c r="AB988" i="16"/>
  <c r="AI982" i="16"/>
  <c r="AE982" i="16"/>
  <c r="AI976" i="16"/>
  <c r="AI970" i="16"/>
  <c r="AI963" i="16"/>
  <c r="AI957" i="16"/>
  <c r="AI951" i="16"/>
  <c r="AE951" i="16"/>
  <c r="AF951" i="16"/>
  <c r="AI943" i="16"/>
  <c r="AE935" i="16"/>
  <c r="AI935" i="16"/>
  <c r="AI927" i="16"/>
  <c r="AI921" i="16"/>
  <c r="AI913" i="16"/>
  <c r="AE913" i="16"/>
  <c r="AI905" i="16"/>
  <c r="AC905" i="16"/>
  <c r="AI899" i="16"/>
  <c r="AI893" i="16"/>
  <c r="AI887" i="16"/>
  <c r="AI881" i="16"/>
  <c r="AI875" i="16"/>
  <c r="AI869" i="16"/>
  <c r="AI861" i="16"/>
  <c r="AI849" i="16"/>
  <c r="AI843" i="16"/>
  <c r="AE843" i="16"/>
  <c r="AI836" i="16"/>
  <c r="AE836" i="16"/>
  <c r="AI829" i="16"/>
  <c r="AI823" i="16"/>
  <c r="AE814" i="16"/>
  <c r="AA814" i="16"/>
  <c r="X814" i="16"/>
  <c r="T814" i="16"/>
  <c r="R814" i="16"/>
  <c r="Q814" i="16"/>
  <c r="P814" i="16"/>
  <c r="O814" i="16"/>
  <c r="N814" i="16"/>
  <c r="M814" i="16"/>
  <c r="AG812" i="16"/>
  <c r="AH812" i="16" s="1"/>
  <c r="Z812" i="16"/>
  <c r="Z814" i="16" s="1"/>
  <c r="S812" i="16"/>
  <c r="S814" i="16" s="1"/>
  <c r="AE808" i="16"/>
  <c r="AA808" i="16"/>
  <c r="X808" i="16"/>
  <c r="T808" i="16"/>
  <c r="R808" i="16"/>
  <c r="Q808" i="16"/>
  <c r="P808" i="16"/>
  <c r="O808" i="16"/>
  <c r="N808" i="16"/>
  <c r="M808" i="16"/>
  <c r="AG806" i="16"/>
  <c r="AH806" i="16" s="1"/>
  <c r="Z806" i="16"/>
  <c r="Z808" i="16" s="1"/>
  <c r="S806" i="16"/>
  <c r="S808" i="16" s="1"/>
  <c r="AI802" i="16"/>
  <c r="AE802" i="16"/>
  <c r="AA802" i="16"/>
  <c r="X802" i="16"/>
  <c r="T802" i="16"/>
  <c r="R802" i="16"/>
  <c r="Q802" i="16"/>
  <c r="P802" i="16"/>
  <c r="O802" i="16"/>
  <c r="N802" i="16"/>
  <c r="M802" i="16"/>
  <c r="AG800" i="16"/>
  <c r="AH800" i="16" s="1"/>
  <c r="Z800" i="16"/>
  <c r="Z802" i="16" s="1"/>
  <c r="S800" i="16"/>
  <c r="S802" i="16" s="1"/>
  <c r="AI796" i="16"/>
  <c r="AE796" i="16"/>
  <c r="AA796" i="16"/>
  <c r="X796" i="16"/>
  <c r="T796" i="16"/>
  <c r="R796" i="16"/>
  <c r="Q796" i="16"/>
  <c r="P796" i="16"/>
  <c r="O796" i="16"/>
  <c r="N796" i="16"/>
  <c r="M796" i="16"/>
  <c r="AG794" i="16"/>
  <c r="AH794" i="16" s="1"/>
  <c r="Z794" i="16"/>
  <c r="Z796" i="16" s="1"/>
  <c r="S794" i="16"/>
  <c r="S796" i="16" s="1"/>
  <c r="AI790" i="16"/>
  <c r="AE790" i="16"/>
  <c r="AA790" i="16"/>
  <c r="X790" i="16"/>
  <c r="T790" i="16"/>
  <c r="R790" i="16"/>
  <c r="Q790" i="16"/>
  <c r="P790" i="16"/>
  <c r="O790" i="16"/>
  <c r="N790" i="16"/>
  <c r="M790" i="16"/>
  <c r="AG788" i="16"/>
  <c r="AH788" i="16" s="1"/>
  <c r="Z788" i="16"/>
  <c r="Z790" i="16" s="1"/>
  <c r="S788" i="16"/>
  <c r="S790" i="16" s="1"/>
  <c r="AI784" i="16"/>
  <c r="AE784" i="16"/>
  <c r="X784" i="16"/>
  <c r="T784" i="16"/>
  <c r="R784" i="16"/>
  <c r="Q784" i="16"/>
  <c r="P784" i="16"/>
  <c r="O784" i="16"/>
  <c r="N784" i="16"/>
  <c r="M784" i="16"/>
  <c r="AG782" i="16"/>
  <c r="AH782" i="16" s="1"/>
  <c r="AA784" i="16"/>
  <c r="Z782" i="16"/>
  <c r="Z784" i="16" s="1"/>
  <c r="S782" i="16"/>
  <c r="S784" i="16" s="1"/>
  <c r="AI778" i="16"/>
  <c r="AI772" i="16"/>
  <c r="AI766" i="16"/>
  <c r="AI760" i="16"/>
  <c r="AI754" i="16"/>
  <c r="AI748" i="16"/>
  <c r="AI742" i="16"/>
  <c r="AE742" i="16"/>
  <c r="AI736" i="16"/>
  <c r="AI730" i="16"/>
  <c r="AI724" i="16"/>
  <c r="AE724" i="16"/>
  <c r="AI717" i="16"/>
  <c r="AI711" i="16"/>
  <c r="AI699" i="16"/>
  <c r="AE699" i="16"/>
  <c r="AI691" i="16"/>
  <c r="AC674" i="16"/>
  <c r="AC676" i="16" s="1"/>
  <c r="AE666" i="16"/>
  <c r="AI674" i="16"/>
  <c r="AE674" i="16"/>
  <c r="AF674" i="16"/>
  <c r="AF676" i="16" s="1"/>
  <c r="AG670" i="16"/>
  <c r="AH670" i="16" s="1"/>
  <c r="AJ670" i="16" s="1"/>
  <c r="AI666" i="16"/>
  <c r="AI659" i="16"/>
  <c r="AE659" i="16"/>
  <c r="AI650" i="16"/>
  <c r="AI641" i="16"/>
  <c r="AI631" i="16"/>
  <c r="AI614" i="16"/>
  <c r="AI608" i="16"/>
  <c r="AE608" i="16"/>
  <c r="AI600" i="16"/>
  <c r="AI592" i="16"/>
  <c r="AI584" i="16"/>
  <c r="AE584" i="16"/>
  <c r="AF584" i="16"/>
  <c r="AI575" i="16"/>
  <c r="AI566" i="16"/>
  <c r="AI568" i="16" s="1"/>
  <c r="AI554" i="16"/>
  <c r="AI548" i="16"/>
  <c r="AI542" i="16"/>
  <c r="AC542" i="16"/>
  <c r="AI536" i="16"/>
  <c r="AG534" i="16"/>
  <c r="AI527" i="16"/>
  <c r="AI521" i="16"/>
  <c r="AI515" i="16"/>
  <c r="AI509" i="16"/>
  <c r="AI503" i="16"/>
  <c r="AI497" i="16"/>
  <c r="AI491" i="16"/>
  <c r="AI485" i="16"/>
  <c r="AI476" i="16"/>
  <c r="AI470" i="16"/>
  <c r="AI464" i="16"/>
  <c r="AI458" i="16"/>
  <c r="AI449" i="16"/>
  <c r="AI451" i="16" s="1"/>
  <c r="AI431" i="16"/>
  <c r="AI425" i="16"/>
  <c r="AG423" i="16"/>
  <c r="AH423" i="16" s="1"/>
  <c r="AC425" i="16"/>
  <c r="AC439" i="16" s="1"/>
  <c r="AI413" i="16"/>
  <c r="AI415" i="16" s="1"/>
  <c r="AD413" i="16"/>
  <c r="AD415" i="16" s="1"/>
  <c r="AI402" i="16"/>
  <c r="AI396" i="16"/>
  <c r="AE396" i="16"/>
  <c r="AI381" i="16"/>
  <c r="AI389" i="16" s="1"/>
  <c r="AE381" i="16"/>
  <c r="AE389" i="16" s="1"/>
  <c r="AI372" i="16"/>
  <c r="AI366" i="16"/>
  <c r="AE366" i="16"/>
  <c r="AI360" i="16"/>
  <c r="AE360" i="16"/>
  <c r="AI351" i="16"/>
  <c r="AI343" i="16"/>
  <c r="AI337" i="16"/>
  <c r="AE337" i="16"/>
  <c r="AI331" i="16"/>
  <c r="AE331" i="16"/>
  <c r="AI325" i="16"/>
  <c r="AE325" i="16"/>
  <c r="AI319" i="16"/>
  <c r="AC319" i="16"/>
  <c r="AC353" i="16" s="1"/>
  <c r="AC406" i="16" s="1"/>
  <c r="AI312" i="16"/>
  <c r="AI300" i="16"/>
  <c r="AI294" i="16"/>
  <c r="AE294" i="16"/>
  <c r="AI285" i="16"/>
  <c r="AE285" i="16"/>
  <c r="AI277" i="16"/>
  <c r="AI271" i="16"/>
  <c r="AI265" i="16"/>
  <c r="AE265" i="16"/>
  <c r="AE287" i="16" s="1"/>
  <c r="AI258" i="16"/>
  <c r="AE258" i="16"/>
  <c r="AI249" i="16"/>
  <c r="AI243" i="16"/>
  <c r="AI237" i="16"/>
  <c r="AI231" i="16"/>
  <c r="AE231" i="16"/>
  <c r="AI225" i="16"/>
  <c r="AE225" i="16"/>
  <c r="AE219" i="16"/>
  <c r="AI219" i="16"/>
  <c r="AI210" i="16"/>
  <c r="AI212" i="16" s="1"/>
  <c r="AI201" i="16"/>
  <c r="AI194" i="16"/>
  <c r="AI186" i="16"/>
  <c r="AE194" i="16"/>
  <c r="AE186" i="16"/>
  <c r="AC567" i="4"/>
  <c r="AD567" i="4"/>
  <c r="AE567" i="4"/>
  <c r="AF567" i="4"/>
  <c r="AG567" i="4"/>
  <c r="AH567" i="4"/>
  <c r="AI567" i="4"/>
  <c r="AB567" i="4"/>
  <c r="AB571" i="4" s="1"/>
  <c r="AC571" i="4"/>
  <c r="AD571" i="4"/>
  <c r="AE129" i="4"/>
  <c r="AF129" i="4"/>
  <c r="AE109" i="4"/>
  <c r="AC24" i="4"/>
  <c r="AC133" i="4" s="1"/>
  <c r="AD24" i="4"/>
  <c r="AE24" i="4"/>
  <c r="AI2038" i="16" l="1"/>
  <c r="AI2034" i="16" s="1"/>
  <c r="BE26" i="18" s="1"/>
  <c r="AH2172" i="16"/>
  <c r="AJ2172" i="16" s="1"/>
  <c r="AJ2170" i="16"/>
  <c r="AF2026" i="16"/>
  <c r="AF2038" i="16" s="1"/>
  <c r="AI1742" i="16"/>
  <c r="AB2038" i="16"/>
  <c r="AD2026" i="16"/>
  <c r="AH2152" i="16"/>
  <c r="AA2154" i="16"/>
  <c r="AC2026" i="16"/>
  <c r="AC2038" i="16" s="1"/>
  <c r="AH2030" i="16"/>
  <c r="AH2032" i="16" s="1"/>
  <c r="AJ2032" i="16" s="1"/>
  <c r="AG2032" i="16"/>
  <c r="AE2026" i="16"/>
  <c r="AH1988" i="16"/>
  <c r="AH2024" i="16"/>
  <c r="AG2024" i="16"/>
  <c r="AD1742" i="16"/>
  <c r="AD1754" i="16" s="1"/>
  <c r="AG1988" i="16"/>
  <c r="AF1240" i="16"/>
  <c r="AI1240" i="16"/>
  <c r="AB1403" i="16"/>
  <c r="AC1597" i="16"/>
  <c r="AG1980" i="16"/>
  <c r="AI1185" i="16"/>
  <c r="AH2016" i="16"/>
  <c r="AG2016" i="16"/>
  <c r="AG2008" i="16"/>
  <c r="AH2008" i="16"/>
  <c r="AH1998" i="16"/>
  <c r="AH2000" i="16" s="1"/>
  <c r="AH1992" i="16"/>
  <c r="AH1994" i="16" s="1"/>
  <c r="AH1978" i="16"/>
  <c r="AG1851" i="16"/>
  <c r="AG1837" i="16"/>
  <c r="AI1289" i="16"/>
  <c r="AI1407" i="16" s="1"/>
  <c r="AI1403" i="16" s="1"/>
  <c r="AI1550" i="16"/>
  <c r="AI1546" i="16" s="1"/>
  <c r="AI1597" i="16"/>
  <c r="AI1103" i="16"/>
  <c r="AE1103" i="16"/>
  <c r="AD1103" i="16"/>
  <c r="AE1185" i="16"/>
  <c r="AI1530" i="16"/>
  <c r="AG1740" i="16"/>
  <c r="T1738" i="16"/>
  <c r="AI863" i="16"/>
  <c r="AE374" i="16"/>
  <c r="AI251" i="16"/>
  <c r="S1236" i="16"/>
  <c r="AH1236" i="16"/>
  <c r="AG1236" i="16"/>
  <c r="AG1230" i="16"/>
  <c r="T1228" i="16"/>
  <c r="T1230" i="16" s="1"/>
  <c r="Z1230" i="16"/>
  <c r="AJ1159" i="16"/>
  <c r="AE676" i="16"/>
  <c r="AI1039" i="16"/>
  <c r="AE203" i="16"/>
  <c r="AI676" i="16"/>
  <c r="AA1099" i="16"/>
  <c r="AH1099" i="16" s="1"/>
  <c r="AH1101" i="16" s="1"/>
  <c r="AE251" i="16"/>
  <c r="AH814" i="16"/>
  <c r="AG814" i="16"/>
  <c r="AH808" i="16"/>
  <c r="AG808" i="16"/>
  <c r="AH802" i="16"/>
  <c r="AJ802" i="16" s="1"/>
  <c r="AJ800" i="16"/>
  <c r="AG802" i="16"/>
  <c r="AJ794" i="16"/>
  <c r="AH796" i="16"/>
  <c r="AJ796" i="16" s="1"/>
  <c r="AG796" i="16"/>
  <c r="AJ788" i="16"/>
  <c r="AH790" i="16"/>
  <c r="AJ790" i="16" s="1"/>
  <c r="AG790" i="16"/>
  <c r="AI816" i="16"/>
  <c r="AJ782" i="16"/>
  <c r="AH784" i="16"/>
  <c r="AJ784" i="16" s="1"/>
  <c r="AG784" i="16"/>
  <c r="AI404" i="16"/>
  <c r="AI633" i="16"/>
  <c r="AI439" i="16"/>
  <c r="AI556" i="16"/>
  <c r="AI353" i="16"/>
  <c r="AI478" i="16"/>
  <c r="AI287" i="16"/>
  <c r="AI203" i="16"/>
  <c r="AI374" i="16"/>
  <c r="AG1798" i="16"/>
  <c r="AG1792" i="16"/>
  <c r="AG1786" i="16"/>
  <c r="AG1778" i="16"/>
  <c r="AG1772" i="16"/>
  <c r="AG1765" i="16"/>
  <c r="AG1759" i="16"/>
  <c r="AG1758" i="16"/>
  <c r="AG1746" i="16"/>
  <c r="AG1732" i="16"/>
  <c r="AG1726" i="16"/>
  <c r="AG1725" i="16"/>
  <c r="AG1723" i="16"/>
  <c r="AG1722" i="16"/>
  <c r="AG1716" i="16"/>
  <c r="AG1714" i="16"/>
  <c r="AG1708" i="16"/>
  <c r="AG1706" i="16"/>
  <c r="AG1700" i="16"/>
  <c r="AG1698" i="16"/>
  <c r="AG1692" i="16"/>
  <c r="AG1690" i="16"/>
  <c r="AG1684" i="16"/>
  <c r="AG1682" i="16"/>
  <c r="AG1676" i="16"/>
  <c r="AG1674" i="16"/>
  <c r="AG1668" i="16"/>
  <c r="AG1666" i="16"/>
  <c r="AG1660" i="16"/>
  <c r="AG1658" i="16"/>
  <c r="AG1652" i="16"/>
  <c r="AG1650" i="16"/>
  <c r="AG1644" i="16"/>
  <c r="AG1642" i="16"/>
  <c r="AG1636" i="16"/>
  <c r="AG1634" i="16"/>
  <c r="AG1628" i="16"/>
  <c r="AG1626" i="16"/>
  <c r="AG1620" i="16"/>
  <c r="AG1618" i="16"/>
  <c r="AG1612" i="16"/>
  <c r="AG1610" i="16"/>
  <c r="AG1604" i="16"/>
  <c r="AG1602" i="16"/>
  <c r="AG1593" i="16"/>
  <c r="AG1583" i="16"/>
  <c r="AG1581" i="16"/>
  <c r="AG1575" i="16"/>
  <c r="AG1573" i="16"/>
  <c r="AG1567" i="16"/>
  <c r="AG1565" i="16"/>
  <c r="AG1559" i="16"/>
  <c r="AG1557" i="16"/>
  <c r="AG1556" i="16"/>
  <c r="AG1555" i="16"/>
  <c r="AG1542" i="16"/>
  <c r="AG1536" i="16"/>
  <c r="AG1534" i="16"/>
  <c r="AG1526" i="16"/>
  <c r="AG1524" i="16"/>
  <c r="AG1518" i="16"/>
  <c r="AG1516" i="16"/>
  <c r="AG1510" i="16"/>
  <c r="AG1508" i="16"/>
  <c r="AG1498" i="16"/>
  <c r="AG1492" i="16"/>
  <c r="AG1490" i="16"/>
  <c r="AG1484" i="16"/>
  <c r="AG1482" i="16"/>
  <c r="AG1475" i="16"/>
  <c r="AG1469" i="16"/>
  <c r="AG1463" i="16"/>
  <c r="AG1457" i="16"/>
  <c r="AG1451" i="16"/>
  <c r="AG1445" i="16"/>
  <c r="AG1439" i="16"/>
  <c r="AG1433" i="16"/>
  <c r="AG1427" i="16"/>
  <c r="AG1425" i="16"/>
  <c r="AG1419" i="16"/>
  <c r="AG1413" i="16"/>
  <c r="AG1411" i="16"/>
  <c r="AG1399" i="16"/>
  <c r="AG1393" i="16"/>
  <c r="AG1387" i="16"/>
  <c r="AG1381" i="16"/>
  <c r="AG1375" i="16"/>
  <c r="AG1369" i="16"/>
  <c r="AG1367" i="16"/>
  <c r="AG1361" i="16"/>
  <c r="AG1355" i="16"/>
  <c r="AG1349" i="16"/>
  <c r="AG1343" i="16"/>
  <c r="AG1337" i="16"/>
  <c r="AG1331" i="16"/>
  <c r="AG1325" i="16"/>
  <c r="AG1324" i="16"/>
  <c r="AG1322" i="16"/>
  <c r="AG1321" i="16"/>
  <c r="AG1320" i="16"/>
  <c r="AG1314" i="16"/>
  <c r="AG1308" i="16"/>
  <c r="AG1302" i="16"/>
  <c r="AG1295" i="16"/>
  <c r="AG1293" i="16"/>
  <c r="AG1285" i="16"/>
  <c r="AG1279" i="16"/>
  <c r="AG1272" i="16"/>
  <c r="AG1266" i="16"/>
  <c r="AG1265" i="16"/>
  <c r="AG1264" i="16"/>
  <c r="AG1262" i="16"/>
  <c r="AG1256" i="16"/>
  <c r="AG1253" i="16"/>
  <c r="AG1246" i="16"/>
  <c r="AG1222" i="16"/>
  <c r="AG1216" i="16"/>
  <c r="AG1210" i="16"/>
  <c r="AG1209" i="16"/>
  <c r="AG1203" i="16"/>
  <c r="AG1202" i="16"/>
  <c r="AG1201" i="16"/>
  <c r="AG1195" i="16"/>
  <c r="AG1189" i="16"/>
  <c r="AG1181" i="16"/>
  <c r="AG1175" i="16"/>
  <c r="AG1168" i="16"/>
  <c r="AG1167" i="16"/>
  <c r="AG1161" i="16"/>
  <c r="AG1163" i="16" s="1"/>
  <c r="AG1153" i="16"/>
  <c r="AG1152" i="16"/>
  <c r="AG1151" i="16"/>
  <c r="AG1145" i="16"/>
  <c r="AG1144" i="16"/>
  <c r="AG1143" i="16"/>
  <c r="AG1137" i="16"/>
  <c r="AG1131" i="16"/>
  <c r="AG1125" i="16"/>
  <c r="AG1119" i="16"/>
  <c r="AG1113" i="16"/>
  <c r="AG1107" i="16"/>
  <c r="AG1093" i="16"/>
  <c r="AG1092" i="16"/>
  <c r="AG1091" i="16"/>
  <c r="AG1085" i="16"/>
  <c r="AG1084" i="16"/>
  <c r="AG1083" i="16"/>
  <c r="AG1077" i="16"/>
  <c r="AG1076" i="16"/>
  <c r="AG1075" i="16"/>
  <c r="AG1069" i="16"/>
  <c r="AG1062" i="16"/>
  <c r="AG1061" i="16"/>
  <c r="AG1055" i="16"/>
  <c r="AG1049" i="16"/>
  <c r="AG1043" i="16"/>
  <c r="AG1035" i="16"/>
  <c r="AG1029" i="16"/>
  <c r="AG1023" i="16"/>
  <c r="AG1017" i="16"/>
  <c r="AG1011" i="16"/>
  <c r="AG1004" i="16"/>
  <c r="AG998" i="16"/>
  <c r="AG992" i="16"/>
  <c r="AG986" i="16"/>
  <c r="AG980" i="16"/>
  <c r="AG974" i="16"/>
  <c r="AG968" i="16"/>
  <c r="AG967" i="16"/>
  <c r="AG961" i="16"/>
  <c r="AG955" i="16"/>
  <c r="AG949" i="16"/>
  <c r="AG948" i="16"/>
  <c r="AG947" i="16"/>
  <c r="AG941" i="16"/>
  <c r="AG940" i="16"/>
  <c r="AG939" i="16"/>
  <c r="AG933" i="16"/>
  <c r="AG932" i="16"/>
  <c r="AG931" i="16"/>
  <c r="AG925" i="16"/>
  <c r="AG919" i="16"/>
  <c r="AG918" i="16"/>
  <c r="AG917" i="16"/>
  <c r="AG911" i="16"/>
  <c r="AG910" i="16"/>
  <c r="AG909" i="16"/>
  <c r="AG903" i="16"/>
  <c r="AG897" i="16"/>
  <c r="AG891" i="16"/>
  <c r="AG885" i="16"/>
  <c r="AG879" i="16"/>
  <c r="AG873" i="16"/>
  <c r="AG867" i="16"/>
  <c r="AG859" i="16"/>
  <c r="AG853" i="16"/>
  <c r="AG847" i="16"/>
  <c r="AG841" i="16"/>
  <c r="AG840" i="16"/>
  <c r="AG834" i="16"/>
  <c r="AG827" i="16"/>
  <c r="AG821" i="16"/>
  <c r="AG820" i="16"/>
  <c r="AG776" i="16"/>
  <c r="AG770" i="16"/>
  <c r="AG764" i="16"/>
  <c r="AG758" i="16"/>
  <c r="AG752" i="16"/>
  <c r="AG746" i="16"/>
  <c r="AG740" i="16"/>
  <c r="AG734" i="16"/>
  <c r="AG728" i="16"/>
  <c r="AG722" i="16"/>
  <c r="AG715" i="16"/>
  <c r="AG709" i="16"/>
  <c r="AG708" i="16"/>
  <c r="AG707" i="16"/>
  <c r="AG706" i="16"/>
  <c r="AG705" i="16"/>
  <c r="AG704" i="16"/>
  <c r="AG703" i="16"/>
  <c r="AG697" i="16"/>
  <c r="AG696" i="16"/>
  <c r="AG695" i="16"/>
  <c r="AG689" i="16"/>
  <c r="AG688" i="16"/>
  <c r="AG687" i="16"/>
  <c r="AG686" i="16"/>
  <c r="AG680" i="16"/>
  <c r="AG672" i="16"/>
  <c r="AG671" i="16"/>
  <c r="AG664" i="16"/>
  <c r="AG663" i="16"/>
  <c r="AG657" i="16"/>
  <c r="AG656" i="16"/>
  <c r="AG655" i="16"/>
  <c r="AG654" i="16"/>
  <c r="AG648" i="16"/>
  <c r="AG647" i="16"/>
  <c r="AG646" i="16"/>
  <c r="AG639" i="16"/>
  <c r="AG638" i="16"/>
  <c r="AG637" i="16"/>
  <c r="AG629" i="16"/>
  <c r="AG628" i="16"/>
  <c r="AG627" i="16"/>
  <c r="AG626" i="16"/>
  <c r="AG620" i="16"/>
  <c r="AG619" i="16"/>
  <c r="AG618" i="16"/>
  <c r="AG612" i="16"/>
  <c r="AG606" i="16"/>
  <c r="AG605" i="16"/>
  <c r="AG604" i="16"/>
  <c r="AG598" i="16"/>
  <c r="AG597" i="16"/>
  <c r="AG596" i="16"/>
  <c r="AG590" i="16"/>
  <c r="AG589" i="16"/>
  <c r="AG588" i="16"/>
  <c r="AG582" i="16"/>
  <c r="AG581" i="16"/>
  <c r="AG580" i="16"/>
  <c r="AG579" i="16"/>
  <c r="AG573" i="16"/>
  <c r="AG564" i="16"/>
  <c r="AG563" i="16"/>
  <c r="AG562" i="16"/>
  <c r="AG561" i="16"/>
  <c r="AG552" i="16"/>
  <c r="AG546" i="16"/>
  <c r="AG540" i="16"/>
  <c r="AG533" i="16"/>
  <c r="AG532" i="16"/>
  <c r="AG531" i="16"/>
  <c r="AG525" i="16"/>
  <c r="AG519" i="16"/>
  <c r="AG513" i="16"/>
  <c r="AG507" i="16"/>
  <c r="AG501" i="16"/>
  <c r="AG495" i="16"/>
  <c r="AG489" i="16"/>
  <c r="AG483" i="16"/>
  <c r="AG474" i="16"/>
  <c r="AG468" i="16"/>
  <c r="AG462" i="16"/>
  <c r="AG456" i="16"/>
  <c r="AG447" i="16"/>
  <c r="AG446" i="16"/>
  <c r="AG445" i="16"/>
  <c r="AG444" i="16"/>
  <c r="AG435" i="16"/>
  <c r="AG429" i="16"/>
  <c r="AG422" i="16"/>
  <c r="AG421" i="16"/>
  <c r="AG420" i="16"/>
  <c r="AG411" i="16"/>
  <c r="AG400" i="16"/>
  <c r="AG394" i="16"/>
  <c r="AG385" i="16"/>
  <c r="AG379" i="16"/>
  <c r="AG370" i="16"/>
  <c r="AG364" i="16"/>
  <c r="AG358" i="16"/>
  <c r="AG349" i="16"/>
  <c r="AG348" i="16"/>
  <c r="AG347" i="16"/>
  <c r="AG341" i="16"/>
  <c r="AG335" i="16"/>
  <c r="AG329" i="16"/>
  <c r="AG323" i="16"/>
  <c r="AG317" i="16"/>
  <c r="AG316" i="16"/>
  <c r="AG310" i="16"/>
  <c r="AG304" i="16"/>
  <c r="AG298" i="16"/>
  <c r="AG292" i="16"/>
  <c r="AG283" i="16"/>
  <c r="AG282" i="16"/>
  <c r="AG281" i="16"/>
  <c r="AG275" i="16"/>
  <c r="AG269" i="16"/>
  <c r="AG263" i="16"/>
  <c r="AG256" i="16"/>
  <c r="AG247" i="16"/>
  <c r="AG241" i="16"/>
  <c r="AG235" i="16"/>
  <c r="AG229" i="16"/>
  <c r="AG223" i="16"/>
  <c r="AG217" i="16"/>
  <c r="AG208" i="16"/>
  <c r="AG199" i="16"/>
  <c r="AG198" i="16"/>
  <c r="AG192" i="16"/>
  <c r="AG191" i="16"/>
  <c r="AG190" i="16"/>
  <c r="AG184" i="16"/>
  <c r="AC26" i="16"/>
  <c r="AE165" i="16"/>
  <c r="AG165" i="16" s="1"/>
  <c r="AG163" i="16"/>
  <c r="AG155" i="16"/>
  <c r="AG156" i="16"/>
  <c r="AG157" i="16"/>
  <c r="AG158" i="16"/>
  <c r="AG159" i="16"/>
  <c r="AG160" i="16"/>
  <c r="AG161" i="16"/>
  <c r="AG162" i="16"/>
  <c r="AG166" i="16"/>
  <c r="AG167" i="16"/>
  <c r="AG154" i="16"/>
  <c r="AH129" i="4"/>
  <c r="AH127" i="4"/>
  <c r="AH126" i="4"/>
  <c r="AH125" i="4"/>
  <c r="AH124" i="4"/>
  <c r="AH123" i="4"/>
  <c r="AH122" i="4"/>
  <c r="AH121" i="4"/>
  <c r="AI2055" i="16" l="1"/>
  <c r="AI2292" i="16" s="1"/>
  <c r="BE20" i="19"/>
  <c r="AI1754" i="16"/>
  <c r="AJ2152" i="16"/>
  <c r="AH2154" i="16"/>
  <c r="AJ2154" i="16" s="1"/>
  <c r="AG2026" i="16"/>
  <c r="AH1980" i="16"/>
  <c r="AH2026" i="16" s="1"/>
  <c r="AJ2026" i="16" s="1"/>
  <c r="AC1754" i="16"/>
  <c r="AG1298" i="16"/>
  <c r="T1740" i="16"/>
  <c r="AG1205" i="16"/>
  <c r="AJ1099" i="16"/>
  <c r="AI406" i="16"/>
  <c r="AI1242" i="16" s="1"/>
  <c r="AI1238" i="16" s="1"/>
  <c r="BE20" i="18" s="1"/>
  <c r="BF20" i="18" s="1"/>
  <c r="AJ546" i="4"/>
  <c r="AJ528" i="4"/>
  <c r="AJ408" i="4"/>
  <c r="AJ382" i="4"/>
  <c r="AJ404" i="4"/>
  <c r="AJ402" i="4"/>
  <c r="AJ497" i="4"/>
  <c r="AJ520" i="4"/>
  <c r="AJ526" i="4"/>
  <c r="AJ524" i="4"/>
  <c r="AJ522" i="4"/>
  <c r="AJ544" i="4"/>
  <c r="AJ542" i="4"/>
  <c r="AJ567" i="4"/>
  <c r="AJ569" i="4"/>
  <c r="AJ565" i="4"/>
  <c r="AJ560" i="4"/>
  <c r="AJ552" i="4"/>
  <c r="AJ538" i="4"/>
  <c r="AJ518" i="4"/>
  <c r="AJ508" i="4"/>
  <c r="AJ495" i="4"/>
  <c r="AJ487" i="4"/>
  <c r="AJ459" i="4"/>
  <c r="AJ440" i="4"/>
  <c r="AJ400" i="4"/>
  <c r="AJ392" i="4"/>
  <c r="AJ380" i="4"/>
  <c r="AJ355" i="4"/>
  <c r="AJ309" i="4"/>
  <c r="AJ291" i="4"/>
  <c r="AJ273" i="4"/>
  <c r="AJ261" i="4"/>
  <c r="AJ378" i="4"/>
  <c r="AJ373" i="4"/>
  <c r="AJ365" i="4"/>
  <c r="AJ353" i="4"/>
  <c r="AJ348" i="4"/>
  <c r="AJ343" i="4"/>
  <c r="AJ337" i="4"/>
  <c r="AJ330" i="4"/>
  <c r="AJ324" i="4"/>
  <c r="AJ307" i="4"/>
  <c r="AJ302" i="4"/>
  <c r="AJ297" i="4"/>
  <c r="AJ271" i="4"/>
  <c r="AJ259" i="4"/>
  <c r="AJ249" i="4"/>
  <c r="AJ242" i="4"/>
  <c r="AJ235" i="4"/>
  <c r="AJ213" i="4"/>
  <c r="AJ207" i="4"/>
  <c r="AJ198" i="4"/>
  <c r="AJ167" i="4"/>
  <c r="AJ563" i="4"/>
  <c r="AJ562" i="4"/>
  <c r="AJ550" i="4"/>
  <c r="AJ558" i="4"/>
  <c r="AJ557" i="4"/>
  <c r="AJ556" i="4"/>
  <c r="AJ555" i="4"/>
  <c r="AJ536" i="4"/>
  <c r="AJ535" i="4"/>
  <c r="AJ534" i="4"/>
  <c r="AJ516" i="4"/>
  <c r="AJ515" i="4"/>
  <c r="AJ506" i="4"/>
  <c r="AJ505" i="4"/>
  <c r="AJ504" i="4"/>
  <c r="AJ493" i="4"/>
  <c r="AJ492" i="4"/>
  <c r="AJ491" i="4"/>
  <c r="AJ490" i="4"/>
  <c r="AJ485" i="4"/>
  <c r="AJ484" i="4"/>
  <c r="AJ479" i="4"/>
  <c r="AJ478" i="4"/>
  <c r="AJ477" i="4"/>
  <c r="AJ475" i="4"/>
  <c r="AJ474" i="4"/>
  <c r="AJ473" i="4"/>
  <c r="AJ472" i="4"/>
  <c r="AJ470" i="4"/>
  <c r="AJ469" i="4"/>
  <c r="AJ465" i="4"/>
  <c r="AJ464" i="4"/>
  <c r="AJ463" i="4"/>
  <c r="AJ462" i="4"/>
  <c r="AJ457" i="4"/>
  <c r="AJ456" i="4"/>
  <c r="AJ455" i="4"/>
  <c r="AJ454" i="4"/>
  <c r="AJ453" i="4"/>
  <c r="AJ452" i="4"/>
  <c r="AJ451" i="4"/>
  <c r="AJ450" i="4"/>
  <c r="AJ449" i="4"/>
  <c r="AJ448" i="4"/>
  <c r="AJ447" i="4"/>
  <c r="AJ446" i="4"/>
  <c r="AJ445" i="4"/>
  <c r="AJ444" i="4"/>
  <c r="AJ443" i="4"/>
  <c r="AJ438" i="4"/>
  <c r="AJ437" i="4"/>
  <c r="AJ436" i="4"/>
  <c r="AJ435" i="4"/>
  <c r="AJ432" i="4"/>
  <c r="AJ431" i="4"/>
  <c r="AJ430" i="4"/>
  <c r="AJ428" i="4"/>
  <c r="AJ427" i="4"/>
  <c r="AJ426" i="4"/>
  <c r="AJ425" i="4"/>
  <c r="AJ423" i="4"/>
  <c r="AJ422" i="4"/>
  <c r="AJ418" i="4"/>
  <c r="AJ417" i="4"/>
  <c r="AJ416" i="4"/>
  <c r="AJ415" i="4"/>
  <c r="AJ414" i="4"/>
  <c r="AJ413" i="4"/>
  <c r="AJ398" i="4"/>
  <c r="AJ397" i="4"/>
  <c r="AJ396" i="4"/>
  <c r="AJ395" i="4"/>
  <c r="AJ390" i="4"/>
  <c r="AJ389" i="4"/>
  <c r="AJ388" i="4"/>
  <c r="AJ387" i="4"/>
  <c r="AJ386" i="4"/>
  <c r="AJ376" i="4"/>
  <c r="AJ371" i="4"/>
  <c r="AJ370" i="4"/>
  <c r="AJ369" i="4"/>
  <c r="AJ368" i="4"/>
  <c r="AJ363" i="4"/>
  <c r="AJ362" i="4"/>
  <c r="AJ361" i="4"/>
  <c r="AJ360" i="4"/>
  <c r="AJ359" i="4"/>
  <c r="AJ351" i="4"/>
  <c r="AJ346" i="4"/>
  <c r="AJ341" i="4"/>
  <c r="AJ340" i="4"/>
  <c r="AJ335" i="4"/>
  <c r="AJ334" i="4"/>
  <c r="AJ333" i="4"/>
  <c r="AJ328" i="4"/>
  <c r="AJ327" i="4"/>
  <c r="AJ322" i="4"/>
  <c r="AJ321" i="4"/>
  <c r="AJ320" i="4"/>
  <c r="AJ319" i="4"/>
  <c r="AJ318" i="4"/>
  <c r="AJ317" i="4"/>
  <c r="AJ316" i="4"/>
  <c r="AJ315" i="4"/>
  <c r="AJ314" i="4"/>
  <c r="AJ313" i="4"/>
  <c r="AJ305" i="4"/>
  <c r="AJ300" i="4"/>
  <c r="AJ295" i="4"/>
  <c r="AJ289" i="4"/>
  <c r="AJ288" i="4"/>
  <c r="AJ287" i="4"/>
  <c r="AJ268" i="4"/>
  <c r="AJ267" i="4"/>
  <c r="AJ266" i="4"/>
  <c r="AJ265" i="4"/>
  <c r="AJ257" i="4"/>
  <c r="AJ254" i="4"/>
  <c r="AJ252" i="4"/>
  <c r="AJ247" i="4"/>
  <c r="AJ246" i="4"/>
  <c r="AJ245" i="4"/>
  <c r="AJ240" i="4"/>
  <c r="AJ239" i="4"/>
  <c r="AJ238" i="4"/>
  <c r="AJ232" i="4"/>
  <c r="AJ231" i="4"/>
  <c r="AJ230" i="4"/>
  <c r="AJ229" i="4"/>
  <c r="AJ228" i="4"/>
  <c r="AJ227" i="4"/>
  <c r="AJ226" i="4"/>
  <c r="AJ225" i="4"/>
  <c r="AJ224" i="4"/>
  <c r="AJ223" i="4"/>
  <c r="AJ222" i="4"/>
  <c r="AJ221" i="4"/>
  <c r="AJ220" i="4"/>
  <c r="AJ219" i="4"/>
  <c r="AJ218" i="4"/>
  <c r="AJ216" i="4"/>
  <c r="AJ210" i="4"/>
  <c r="AJ204" i="4"/>
  <c r="AJ203" i="4"/>
  <c r="AJ202" i="4"/>
  <c r="AJ201" i="4"/>
  <c r="AJ195" i="4"/>
  <c r="AJ176" i="4"/>
  <c r="AJ175" i="4"/>
  <c r="AJ174" i="4"/>
  <c r="AJ165" i="4"/>
  <c r="AJ160" i="4"/>
  <c r="AJ155" i="4"/>
  <c r="AJ150" i="4"/>
  <c r="AJ149" i="4"/>
  <c r="AJ144" i="4"/>
  <c r="AJ143" i="4"/>
  <c r="AI573" i="4"/>
  <c r="AI565" i="4"/>
  <c r="AI569" i="4"/>
  <c r="AI560" i="4"/>
  <c r="AI552" i="4"/>
  <c r="AI538" i="4"/>
  <c r="AI542" i="4"/>
  <c r="AI546" i="4" s="1"/>
  <c r="AI544" i="4"/>
  <c r="AI518" i="4"/>
  <c r="AI520" i="4" s="1"/>
  <c r="AG516" i="4"/>
  <c r="AH516" i="4" s="1"/>
  <c r="AI508" i="4"/>
  <c r="AG506" i="4"/>
  <c r="AH506" i="4" s="1"/>
  <c r="AI495" i="4"/>
  <c r="AI497" i="4" s="1"/>
  <c r="AI487" i="4"/>
  <c r="AI459" i="4"/>
  <c r="AI440" i="4"/>
  <c r="AI400" i="4"/>
  <c r="AI402" i="4"/>
  <c r="AI392" i="4"/>
  <c r="AI378" i="4"/>
  <c r="AI380" i="4"/>
  <c r="AI373" i="4"/>
  <c r="AI365" i="4"/>
  <c r="AI353" i="4"/>
  <c r="AI355" i="4"/>
  <c r="AI348" i="4"/>
  <c r="AI343" i="4"/>
  <c r="AI337" i="4"/>
  <c r="AI330" i="4"/>
  <c r="AI324" i="4"/>
  <c r="AI307" i="4"/>
  <c r="AI302" i="4"/>
  <c r="AI297" i="4"/>
  <c r="AI291" i="4"/>
  <c r="AG277" i="4"/>
  <c r="AH277" i="4"/>
  <c r="AG279" i="4"/>
  <c r="AH279" i="4"/>
  <c r="AG281" i="4"/>
  <c r="AH281" i="4"/>
  <c r="AI277" i="4"/>
  <c r="AJ277" i="4" s="1"/>
  <c r="AI279" i="4"/>
  <c r="AJ279" i="4" s="1"/>
  <c r="AI271" i="4"/>
  <c r="AI273" i="4"/>
  <c r="AI198" i="4"/>
  <c r="AI261" i="4"/>
  <c r="AI259" i="4"/>
  <c r="AI249" i="4"/>
  <c r="AI242" i="4"/>
  <c r="AI235" i="4"/>
  <c r="AG233" i="4"/>
  <c r="AH233" i="4" s="1"/>
  <c r="AI213" i="4"/>
  <c r="AI207" i="4"/>
  <c r="AI187" i="4"/>
  <c r="AG185" i="4"/>
  <c r="AH185" i="4" s="1"/>
  <c r="AI180" i="4"/>
  <c r="AI189" i="4" s="1"/>
  <c r="AJ189" i="4" s="1"/>
  <c r="AI167" i="4"/>
  <c r="AI162" i="4"/>
  <c r="AJ162" i="4" s="1"/>
  <c r="AI157" i="4"/>
  <c r="AJ157" i="4" s="1"/>
  <c r="AI152" i="4"/>
  <c r="AJ152" i="4" s="1"/>
  <c r="AI146" i="4"/>
  <c r="AB20" i="19" s="1"/>
  <c r="AG563" i="4"/>
  <c r="AH563" i="4" s="1"/>
  <c r="AB565" i="4"/>
  <c r="AC565" i="4"/>
  <c r="AD565" i="4"/>
  <c r="AB518" i="4"/>
  <c r="AC518" i="4"/>
  <c r="AD518" i="4"/>
  <c r="AB495" i="4"/>
  <c r="AC495" i="4"/>
  <c r="AD495" i="4"/>
  <c r="AD459" i="4"/>
  <c r="AG457" i="4"/>
  <c r="AH457" i="4"/>
  <c r="AC392" i="4"/>
  <c r="AD392" i="4"/>
  <c r="AE392" i="4"/>
  <c r="AF392" i="4"/>
  <c r="AG387" i="4"/>
  <c r="AH387" i="4" s="1"/>
  <c r="AG388" i="4"/>
  <c r="AH388" i="4"/>
  <c r="AG389" i="4"/>
  <c r="AH389" i="4" s="1"/>
  <c r="AG390" i="4"/>
  <c r="AH390" i="4"/>
  <c r="AG396" i="4"/>
  <c r="AG400" i="4" s="1"/>
  <c r="AH396" i="4"/>
  <c r="AH400" i="4" s="1"/>
  <c r="AG397" i="4"/>
  <c r="AH397" i="4"/>
  <c r="AG398" i="4"/>
  <c r="AH398" i="4"/>
  <c r="AC400" i="4"/>
  <c r="AD400" i="4"/>
  <c r="AE400" i="4"/>
  <c r="AF400" i="4"/>
  <c r="AB400" i="4"/>
  <c r="AA400" i="4"/>
  <c r="AB402" i="4"/>
  <c r="AB392" i="4"/>
  <c r="AB337" i="4"/>
  <c r="AF277" i="4"/>
  <c r="AF279" i="4"/>
  <c r="AF281" i="4"/>
  <c r="AB259" i="4"/>
  <c r="AC259" i="4"/>
  <c r="AD259" i="4"/>
  <c r="AE259" i="4"/>
  <c r="AB261" i="4"/>
  <c r="AD271" i="4"/>
  <c r="AD273" i="4" s="1"/>
  <c r="AE271" i="4"/>
  <c r="AE273" i="4" s="1"/>
  <c r="AE277" i="4"/>
  <c r="AD279" i="4"/>
  <c r="AE279" i="4"/>
  <c r="AB271" i="4"/>
  <c r="AB273" i="4" s="1"/>
  <c r="AC271" i="4"/>
  <c r="AC273" i="4" s="1"/>
  <c r="AB279" i="4"/>
  <c r="AC279" i="4"/>
  <c r="AE249" i="4"/>
  <c r="AD249" i="4"/>
  <c r="AD261" i="4" s="1"/>
  <c r="AC249" i="4"/>
  <c r="AC261" i="4" s="1"/>
  <c r="AB187" i="4"/>
  <c r="AB189" i="4" s="1"/>
  <c r="AB191" i="4" s="1"/>
  <c r="AC187" i="4"/>
  <c r="AC189" i="4" s="1"/>
  <c r="AC152" i="4"/>
  <c r="AC169" i="4" s="1"/>
  <c r="AG205" i="4"/>
  <c r="AH205" i="4" s="1"/>
  <c r="AG177" i="4"/>
  <c r="AH177" i="4" s="1"/>
  <c r="AG178" i="4"/>
  <c r="AH178" i="4" s="1"/>
  <c r="BF20" i="19" l="1"/>
  <c r="BE44" i="19"/>
  <c r="BE44" i="18"/>
  <c r="BE50" i="18" s="1"/>
  <c r="AJ180" i="4"/>
  <c r="AI575" i="4"/>
  <c r="AI169" i="4"/>
  <c r="AJ169" i="4" s="1"/>
  <c r="AC20" i="19"/>
  <c r="AB22" i="19"/>
  <c r="AI577" i="4"/>
  <c r="AJ146" i="4"/>
  <c r="AI2053" i="16"/>
  <c r="AI2290" i="16" s="1"/>
  <c r="AI2057" i="16"/>
  <c r="AI2294" i="16" s="1"/>
  <c r="AA1740" i="16"/>
  <c r="AA1230" i="16"/>
  <c r="AH1228" i="16"/>
  <c r="AI571" i="4"/>
  <c r="AI382" i="4"/>
  <c r="AI408" i="4"/>
  <c r="AI404" i="4" s="1"/>
  <c r="AI309" i="4"/>
  <c r="AE261" i="4"/>
  <c r="AE281" i="4" s="1"/>
  <c r="AB281" i="4"/>
  <c r="AD281" i="4"/>
  <c r="AC277" i="4"/>
  <c r="AC191" i="4"/>
  <c r="AC281" i="4" s="1"/>
  <c r="AB277" i="4"/>
  <c r="AD277" i="4"/>
  <c r="BE50" i="19" l="1"/>
  <c r="BF50" i="19" s="1"/>
  <c r="BF44" i="19"/>
  <c r="AI191" i="4"/>
  <c r="AC22" i="19"/>
  <c r="AB28" i="19"/>
  <c r="AH1740" i="16"/>
  <c r="AH1230" i="16"/>
  <c r="AH131" i="4"/>
  <c r="AC12" i="16"/>
  <c r="AC14" i="16"/>
  <c r="AF14" i="16"/>
  <c r="AE13" i="16"/>
  <c r="AE12" i="16"/>
  <c r="AF13" i="16"/>
  <c r="AF12" i="16"/>
  <c r="AF11" i="4"/>
  <c r="AC15" i="4"/>
  <c r="AC24" i="16"/>
  <c r="AC29" i="16" s="1"/>
  <c r="AF24" i="16"/>
  <c r="AE23" i="16"/>
  <c r="AE22" i="16"/>
  <c r="AF23" i="16"/>
  <c r="AF22" i="16"/>
  <c r="AG27" i="16"/>
  <c r="AG26" i="16"/>
  <c r="AF20" i="4"/>
  <c r="AF19" i="4"/>
  <c r="AC35" i="16"/>
  <c r="AG35" i="16" s="1"/>
  <c r="AF34" i="16"/>
  <c r="AC34" i="16"/>
  <c r="AE34" i="16"/>
  <c r="AE33" i="16"/>
  <c r="AC33" i="16"/>
  <c r="AF33" i="16"/>
  <c r="AG36" i="16"/>
  <c r="AG37" i="16"/>
  <c r="AG39" i="16"/>
  <c r="AG40" i="16"/>
  <c r="AG29" i="4"/>
  <c r="AH29" i="4" s="1"/>
  <c r="AB33" i="4"/>
  <c r="AC33" i="4"/>
  <c r="AD33" i="4"/>
  <c r="AE33" i="4"/>
  <c r="AF28" i="4"/>
  <c r="AF33" i="4" s="1"/>
  <c r="AG30" i="4"/>
  <c r="AH30" i="4" s="1"/>
  <c r="AG31" i="4"/>
  <c r="AE47" i="16"/>
  <c r="AE46" i="16"/>
  <c r="AC47" i="16"/>
  <c r="AC46" i="16"/>
  <c r="AF47" i="16"/>
  <c r="AF46" i="16"/>
  <c r="AG48" i="16"/>
  <c r="AG50" i="16"/>
  <c r="AF38" i="4"/>
  <c r="AC58" i="16"/>
  <c r="AG58" i="16" s="1"/>
  <c r="AC57" i="16"/>
  <c r="AC56" i="16"/>
  <c r="AF57" i="16"/>
  <c r="AF56" i="16"/>
  <c r="AE57" i="16"/>
  <c r="AE56" i="16"/>
  <c r="AG60" i="16"/>
  <c r="AG61" i="16"/>
  <c r="AF45" i="4"/>
  <c r="AG44" i="4" s="1"/>
  <c r="AG46" i="4"/>
  <c r="AE68" i="16"/>
  <c r="AE67" i="16"/>
  <c r="AC67" i="16"/>
  <c r="AF68" i="16"/>
  <c r="AF67" i="16"/>
  <c r="AF52" i="4"/>
  <c r="AG69" i="16"/>
  <c r="AC81" i="16"/>
  <c r="AF81" i="16"/>
  <c r="AE79" i="16"/>
  <c r="AC79" i="16"/>
  <c r="AF79" i="16"/>
  <c r="AE77" i="16"/>
  <c r="AC77" i="16"/>
  <c r="AF77" i="16"/>
  <c r="AG78" i="16"/>
  <c r="AG80" i="16"/>
  <c r="AG82" i="16"/>
  <c r="AG83" i="16"/>
  <c r="AG85" i="16"/>
  <c r="AG86" i="16"/>
  <c r="AF60" i="4"/>
  <c r="AC58" i="4"/>
  <c r="AH61" i="4"/>
  <c r="AE93" i="16"/>
  <c r="AG93" i="16" s="1"/>
  <c r="AE92" i="16"/>
  <c r="AG92" i="16" s="1"/>
  <c r="AC94" i="16"/>
  <c r="AG94" i="16" s="1"/>
  <c r="AC96" i="16"/>
  <c r="AG96" i="16" s="1"/>
  <c r="AG97" i="16"/>
  <c r="AG69" i="4"/>
  <c r="AG70" i="4"/>
  <c r="AG72" i="4"/>
  <c r="AH72" i="4" s="1"/>
  <c r="AG71" i="4"/>
  <c r="AG73" i="4"/>
  <c r="AB75" i="4"/>
  <c r="AC68" i="4"/>
  <c r="AC75" i="4" s="1"/>
  <c r="AE104" i="16"/>
  <c r="AE103" i="16"/>
  <c r="AC103" i="16"/>
  <c r="AB84" i="4"/>
  <c r="AC84" i="4"/>
  <c r="AD84" i="4"/>
  <c r="AE84" i="4"/>
  <c r="AF84" i="4"/>
  <c r="AC28" i="19" l="1"/>
  <c r="AB44" i="19"/>
  <c r="AJ191" i="4"/>
  <c r="AI281" i="4"/>
  <c r="AG68" i="16"/>
  <c r="AG81" i="16"/>
  <c r="AG79" i="16"/>
  <c r="AG47" i="16"/>
  <c r="AG56" i="16"/>
  <c r="AG46" i="16"/>
  <c r="AG67" i="16"/>
  <c r="AG28" i="4"/>
  <c r="AG45" i="4"/>
  <c r="AG48" i="4" s="1"/>
  <c r="AG24" i="16"/>
  <c r="AG23" i="16"/>
  <c r="AG22" i="16"/>
  <c r="AG34" i="16"/>
  <c r="AG33" i="16"/>
  <c r="AG57" i="16"/>
  <c r="AG77" i="16"/>
  <c r="AJ281" i="4" l="1"/>
  <c r="AI579" i="4"/>
  <c r="AB50" i="19"/>
  <c r="AC50" i="19" s="1"/>
  <c r="AC44" i="19"/>
  <c r="AG104" i="16"/>
  <c r="AG105" i="16"/>
  <c r="AG106" i="16"/>
  <c r="AH106" i="16" s="1"/>
  <c r="AG107" i="16"/>
  <c r="AG108" i="16"/>
  <c r="AG103" i="16"/>
  <c r="AC123" i="16"/>
  <c r="AG123" i="16" s="1"/>
  <c r="AC118" i="16"/>
  <c r="AG118" i="16" s="1"/>
  <c r="AC117" i="16"/>
  <c r="AG117" i="16" s="1"/>
  <c r="AE116" i="16"/>
  <c r="AC116" i="16"/>
  <c r="AF116" i="16"/>
  <c r="AC114" i="16"/>
  <c r="AE114" i="16"/>
  <c r="AF114" i="16"/>
  <c r="AG115" i="16"/>
  <c r="AG119" i="16"/>
  <c r="AG120" i="16"/>
  <c r="AG121" i="16"/>
  <c r="AG124" i="16"/>
  <c r="AG125" i="16"/>
  <c r="AG126" i="16"/>
  <c r="AH94" i="4"/>
  <c r="AG116" i="16" l="1"/>
  <c r="AG114" i="16"/>
  <c r="AF91" i="4"/>
  <c r="AF90" i="4"/>
  <c r="AC87" i="4"/>
  <c r="AG137" i="16"/>
  <c r="AH137" i="16" s="1"/>
  <c r="AC134" i="16"/>
  <c r="AG134" i="16" s="1"/>
  <c r="AE133" i="16"/>
  <c r="AE132" i="16"/>
  <c r="AC133" i="16"/>
  <c r="AC132" i="16"/>
  <c r="AC145" i="16"/>
  <c r="AG145" i="16" s="1"/>
  <c r="AC144" i="16"/>
  <c r="AE144" i="16"/>
  <c r="AC147" i="16"/>
  <c r="AG147" i="16" s="1"/>
  <c r="AG148" i="16"/>
  <c r="AB150" i="16"/>
  <c r="AD150" i="16"/>
  <c r="AF144" i="16"/>
  <c r="AF143" i="16"/>
  <c r="AE143" i="16"/>
  <c r="AC143" i="16"/>
  <c r="AB18" i="16"/>
  <c r="AD18" i="16"/>
  <c r="AE18" i="16"/>
  <c r="AF18" i="16"/>
  <c r="AG13" i="16"/>
  <c r="AG14" i="16"/>
  <c r="AG16" i="16"/>
  <c r="AF113" i="4"/>
  <c r="AG113" i="4"/>
  <c r="AG114" i="4"/>
  <c r="AG115" i="4"/>
  <c r="AH115" i="4" s="1"/>
  <c r="AG116" i="4"/>
  <c r="AB118" i="4"/>
  <c r="AD118" i="4"/>
  <c r="AE118" i="4"/>
  <c r="AF118" i="4"/>
  <c r="AI118" i="4"/>
  <c r="AC112" i="4"/>
  <c r="U38" i="5"/>
  <c r="W38" i="5"/>
  <c r="X38" i="5"/>
  <c r="Y38" i="5"/>
  <c r="Z38" i="5"/>
  <c r="AA38" i="5"/>
  <c r="AB38" i="5"/>
  <c r="U8" i="5"/>
  <c r="Y8" i="5"/>
  <c r="V9" i="5"/>
  <c r="W9" i="5"/>
  <c r="X9" i="5"/>
  <c r="Y9" i="5"/>
  <c r="AB9" i="5"/>
  <c r="AC9" i="5" s="1"/>
  <c r="U10" i="5"/>
  <c r="V10" i="5"/>
  <c r="W10" i="5"/>
  <c r="X10" i="5"/>
  <c r="Y10" i="5"/>
  <c r="AB10" i="5"/>
  <c r="AC10" i="5" s="1"/>
  <c r="Y11" i="5"/>
  <c r="U14" i="5"/>
  <c r="V14" i="5"/>
  <c r="W14" i="5"/>
  <c r="Y14" i="5"/>
  <c r="AB14" i="5"/>
  <c r="AC14" i="5" s="1"/>
  <c r="X15" i="5"/>
  <c r="U16" i="5"/>
  <c r="V16" i="5"/>
  <c r="W16" i="5"/>
  <c r="X16" i="5"/>
  <c r="Y16" i="5"/>
  <c r="AB16" i="5"/>
  <c r="AC16" i="5" s="1"/>
  <c r="X20" i="5"/>
  <c r="U21" i="5"/>
  <c r="Y21" i="5"/>
  <c r="U26" i="5"/>
  <c r="V26" i="5"/>
  <c r="W25" i="5"/>
  <c r="X25" i="5"/>
  <c r="Y25" i="5"/>
  <c r="AB26" i="5"/>
  <c r="W26" i="5"/>
  <c r="X26" i="5"/>
  <c r="W30" i="5"/>
  <c r="X30" i="5"/>
  <c r="AB30" i="5"/>
  <c r="V31" i="5"/>
  <c r="W31" i="5"/>
  <c r="X31" i="5"/>
  <c r="Y31" i="5"/>
  <c r="AB31" i="5"/>
  <c r="Y33" i="5"/>
  <c r="AB33" i="5"/>
  <c r="U35" i="5"/>
  <c r="V35" i="5"/>
  <c r="AB35" i="5"/>
  <c r="U36" i="5"/>
  <c r="V36" i="5"/>
  <c r="W36" i="5"/>
  <c r="X36" i="5"/>
  <c r="Y36" i="5"/>
  <c r="AB36" i="5"/>
  <c r="V41" i="5"/>
  <c r="W41" i="5"/>
  <c r="Y41" i="5"/>
  <c r="U45" i="5"/>
  <c r="V45" i="5"/>
  <c r="W45" i="5"/>
  <c r="X45" i="5"/>
  <c r="Y45" i="5"/>
  <c r="U48" i="5"/>
  <c r="V48" i="5"/>
  <c r="W48" i="5"/>
  <c r="X48" i="5"/>
  <c r="Y48" i="5"/>
  <c r="AB48" i="5"/>
  <c r="AX27" i="5"/>
  <c r="AY27" i="5"/>
  <c r="AZ27" i="5"/>
  <c r="BA27" i="5"/>
  <c r="BB27" i="5"/>
  <c r="BE27" i="5"/>
  <c r="AX36" i="5"/>
  <c r="AY36" i="5"/>
  <c r="AZ36" i="5"/>
  <c r="BA36" i="5"/>
  <c r="BB36" i="5"/>
  <c r="BE36" i="5"/>
  <c r="AX46" i="5"/>
  <c r="AY46" i="5"/>
  <c r="AZ46" i="5"/>
  <c r="BA46" i="5"/>
  <c r="BB46" i="5"/>
  <c r="BC46" i="5"/>
  <c r="BE46" i="5"/>
  <c r="AX48" i="5"/>
  <c r="AY48" i="5"/>
  <c r="AZ48" i="5"/>
  <c r="BB48" i="5"/>
  <c r="BC48" i="5"/>
  <c r="U12" i="5"/>
  <c r="V12" i="5"/>
  <c r="W12" i="5"/>
  <c r="X12" i="5"/>
  <c r="Y12" i="5"/>
  <c r="AA12" i="5"/>
  <c r="U11" i="5"/>
  <c r="X14" i="5"/>
  <c r="U19" i="5"/>
  <c r="V19" i="5"/>
  <c r="W19" i="5"/>
  <c r="X19" i="5"/>
  <c r="Y19" i="5"/>
  <c r="Z19" i="5"/>
  <c r="AA19" i="5"/>
  <c r="AB19" i="5"/>
  <c r="U23" i="5"/>
  <c r="V23" i="5"/>
  <c r="W23" i="5"/>
  <c r="X23" i="5"/>
  <c r="Y23" i="5"/>
  <c r="Z23" i="5"/>
  <c r="AA23" i="5"/>
  <c r="AB23" i="5"/>
  <c r="U27" i="5"/>
  <c r="V27" i="5"/>
  <c r="W27" i="5"/>
  <c r="X27" i="5"/>
  <c r="Y27" i="5"/>
  <c r="Z27" i="5"/>
  <c r="AA27" i="5"/>
  <c r="AB27" i="5"/>
  <c r="Y30" i="5"/>
  <c r="U40" i="5"/>
  <c r="V40" i="5"/>
  <c r="W40" i="5"/>
  <c r="X40" i="5"/>
  <c r="Y40" i="5"/>
  <c r="Z40" i="5"/>
  <c r="AA40" i="5"/>
  <c r="AB40" i="5"/>
  <c r="AB41" i="5"/>
  <c r="AB45" i="5"/>
  <c r="BE49" i="5" l="1"/>
  <c r="BA49" i="5"/>
  <c r="AZ31" i="5"/>
  <c r="AG144" i="16"/>
  <c r="AG136" i="16"/>
  <c r="AG143" i="16"/>
  <c r="BE48" i="5"/>
  <c r="BA48" i="5"/>
  <c r="AZ10" i="5"/>
  <c r="AY10" i="5"/>
  <c r="BB26" i="5"/>
  <c r="BB31" i="5"/>
  <c r="AX31" i="5"/>
  <c r="AZ25" i="5"/>
  <c r="AX10" i="5"/>
  <c r="AZ49" i="5"/>
  <c r="AY8" i="5"/>
  <c r="AG133" i="16"/>
  <c r="AF150" i="16"/>
  <c r="AG132" i="16"/>
  <c r="AE150" i="16"/>
  <c r="AY49" i="5"/>
  <c r="BB49" i="5"/>
  <c r="BC49" i="5"/>
  <c r="AZ9" i="5"/>
  <c r="AX49" i="5"/>
  <c r="AX25" i="5"/>
  <c r="AX21" i="5"/>
  <c r="BB10" i="5"/>
  <c r="BB25" i="5"/>
  <c r="AY31" i="5"/>
  <c r="AY25" i="5"/>
  <c r="X41" i="5"/>
  <c r="X47" i="5"/>
  <c r="V24" i="5"/>
  <c r="Y15" i="5"/>
  <c r="U15" i="5"/>
  <c r="V11" i="5"/>
  <c r="AB25" i="5"/>
  <c r="V46" i="5"/>
  <c r="X29" i="5"/>
  <c r="V39" i="5"/>
  <c r="V38" i="5"/>
  <c r="V47" i="5"/>
  <c r="W49" i="5"/>
  <c r="X42" i="5"/>
  <c r="V43" i="5"/>
  <c r="X35" i="5"/>
  <c r="Y29" i="5"/>
  <c r="X13" i="5"/>
  <c r="U49" i="5"/>
  <c r="U42" i="5"/>
  <c r="W35" i="5"/>
  <c r="Y24" i="5"/>
  <c r="U24" i="5"/>
  <c r="X49" i="5"/>
  <c r="X33" i="5"/>
  <c r="U41" i="5"/>
  <c r="AB15" i="5"/>
  <c r="AC15" i="5" s="1"/>
  <c r="X17" i="5"/>
  <c r="AB11" i="5"/>
  <c r="AC11" i="5" s="1"/>
  <c r="V13" i="5"/>
  <c r="X11" i="5"/>
  <c r="AB8" i="5"/>
  <c r="AC8" i="5" s="1"/>
  <c r="AB17" i="5"/>
  <c r="U43" i="5"/>
  <c r="Y39" i="5"/>
  <c r="AC118" i="4"/>
  <c r="X8" i="5"/>
  <c r="U13" i="5"/>
  <c r="Y43" i="5"/>
  <c r="U39" i="5"/>
  <c r="AB20" i="5"/>
  <c r="AC20" i="5" s="1"/>
  <c r="Y17" i="5"/>
  <c r="AB47" i="5"/>
  <c r="AB46" i="5"/>
  <c r="X46" i="5"/>
  <c r="AB43" i="5"/>
  <c r="X43" i="5"/>
  <c r="AB39" i="5"/>
  <c r="X39" i="5"/>
  <c r="Y35" i="5"/>
  <c r="U33" i="5"/>
  <c r="V15" i="5"/>
  <c r="W11" i="5"/>
  <c r="V29" i="5"/>
  <c r="V20" i="5"/>
  <c r="W33" i="5"/>
  <c r="V25" i="5"/>
  <c r="W20" i="5"/>
  <c r="AB12" i="5"/>
  <c r="AC12" i="5" s="1"/>
  <c r="AB21" i="5"/>
  <c r="AC21" i="5" s="1"/>
  <c r="V22" i="5"/>
  <c r="Y20" i="5"/>
  <c r="U20" i="5"/>
  <c r="V8" i="5"/>
  <c r="AB34" i="5"/>
  <c r="U34" i="5"/>
  <c r="AB29" i="5"/>
  <c r="W29" i="5"/>
  <c r="W21" i="5"/>
  <c r="U9" i="5"/>
  <c r="W15" i="5"/>
  <c r="AB24" i="5"/>
  <c r="V21" i="5"/>
  <c r="W8" i="5"/>
  <c r="U17" i="5"/>
  <c r="V33" i="5"/>
  <c r="W24" i="5"/>
  <c r="Y47" i="5"/>
  <c r="U47" i="5"/>
  <c r="Y46" i="5"/>
  <c r="U46" i="5"/>
  <c r="W13" i="5"/>
  <c r="W47" i="5"/>
  <c r="W46" i="5"/>
  <c r="W43" i="5"/>
  <c r="W39" i="5"/>
  <c r="Y13" i="5"/>
  <c r="X24" i="5"/>
  <c r="AB13" i="5"/>
  <c r="AC13" i="5" s="1"/>
  <c r="X21" i="5"/>
  <c r="V34" i="5"/>
  <c r="V17" i="5"/>
  <c r="U25" i="5"/>
  <c r="W17" i="5"/>
  <c r="V30" i="5"/>
  <c r="AB37" i="5"/>
  <c r="AB32" i="5"/>
  <c r="AX8" i="5"/>
  <c r="BA10" i="5"/>
  <c r="BB8" i="5"/>
  <c r="BE34" i="5"/>
  <c r="BE31" i="5"/>
  <c r="BA31" i="5"/>
  <c r="BE29" i="5"/>
  <c r="BE26" i="5"/>
  <c r="BE25" i="5"/>
  <c r="BE23" i="5"/>
  <c r="BE21" i="5"/>
  <c r="BE20" i="5"/>
  <c r="BF20" i="5" s="1"/>
  <c r="BB9" i="5"/>
  <c r="BE10" i="5"/>
  <c r="BF10" i="5" s="1"/>
  <c r="BE9" i="5"/>
  <c r="BF9" i="5" s="1"/>
  <c r="AC150" i="16"/>
  <c r="AG150" i="16"/>
  <c r="BA9" i="5"/>
  <c r="AY9" i="5"/>
  <c r="AC18" i="16"/>
  <c r="AG12" i="16"/>
  <c r="AX9" i="5"/>
  <c r="BE8" i="5"/>
  <c r="BF8" i="5" s="1"/>
  <c r="AZ8" i="5"/>
  <c r="AG2282" i="16"/>
  <c r="AG2270" i="16"/>
  <c r="AH2264" i="16"/>
  <c r="AJ2264" i="16" s="1"/>
  <c r="AG2264" i="16"/>
  <c r="AG2258" i="16"/>
  <c r="AG2249" i="16"/>
  <c r="AF2238" i="16"/>
  <c r="AE2238" i="16"/>
  <c r="AD2238" i="16"/>
  <c r="AC2238" i="16"/>
  <c r="AB2238" i="16"/>
  <c r="AF2236" i="16"/>
  <c r="AE2236" i="16"/>
  <c r="AD2236" i="16"/>
  <c r="AC2236" i="16"/>
  <c r="AB2236" i="16"/>
  <c r="AG2203" i="16"/>
  <c r="AG2199" i="16"/>
  <c r="AG2193" i="16"/>
  <c r="AG2205" i="16"/>
  <c r="BC31" i="5" s="1"/>
  <c r="AG2187" i="16"/>
  <c r="AY29" i="5"/>
  <c r="AX29" i="5"/>
  <c r="AE2148" i="16"/>
  <c r="AG2148" i="16"/>
  <c r="AG2142" i="16"/>
  <c r="AG2135" i="16"/>
  <c r="AG2129" i="16"/>
  <c r="AG2123" i="16"/>
  <c r="AG2117" i="16"/>
  <c r="AG2178" i="16" s="1"/>
  <c r="AG2176" i="16" s="1"/>
  <c r="AD2117" i="16"/>
  <c r="AF2110" i="16"/>
  <c r="AE2110" i="16"/>
  <c r="AD2110" i="16"/>
  <c r="AC2110" i="16"/>
  <c r="AB2110" i="16"/>
  <c r="AG2077" i="16"/>
  <c r="AG2071" i="16"/>
  <c r="AG2065" i="16"/>
  <c r="AG2045" i="16"/>
  <c r="AG2047" i="16" s="1"/>
  <c r="AD1973" i="16"/>
  <c r="AD2038" i="16" s="1"/>
  <c r="AE1967" i="16"/>
  <c r="AG1954" i="16"/>
  <c r="AG1948" i="16"/>
  <c r="AE1936" i="16"/>
  <c r="AG1936" i="16"/>
  <c r="AG1930" i="16"/>
  <c r="AG1918" i="16"/>
  <c r="AE1912" i="16"/>
  <c r="AG1912" i="16"/>
  <c r="AG1906" i="16"/>
  <c r="AG1898" i="16"/>
  <c r="AG1892" i="16"/>
  <c r="AE1892" i="16"/>
  <c r="AE1884" i="16"/>
  <c r="AG1878" i="16"/>
  <c r="AG1831" i="16"/>
  <c r="AE1831" i="16"/>
  <c r="AG1825" i="16"/>
  <c r="AG1817" i="16"/>
  <c r="AG1811" i="16"/>
  <c r="AE1802" i="16"/>
  <c r="AG1802" i="16"/>
  <c r="AG1794" i="16"/>
  <c r="AG1788" i="16"/>
  <c r="AG1774" i="16"/>
  <c r="AG1761" i="16"/>
  <c r="AG1734" i="16"/>
  <c r="AE1728" i="16"/>
  <c r="AG1718" i="16"/>
  <c r="AE1718" i="16"/>
  <c r="AG1694" i="16"/>
  <c r="AE1686" i="16"/>
  <c r="AG1678" i="16"/>
  <c r="AE1678" i="16"/>
  <c r="AG1670" i="16"/>
  <c r="AG1662" i="16"/>
  <c r="AG1646" i="16"/>
  <c r="AG1638" i="16"/>
  <c r="AG1622" i="16"/>
  <c r="AG1606" i="16"/>
  <c r="AE1606" i="16"/>
  <c r="AE1742" i="16" s="1"/>
  <c r="AG1595" i="16"/>
  <c r="AG1569" i="16"/>
  <c r="AF1550" i="16"/>
  <c r="AF1546" i="16" s="1"/>
  <c r="BB23" i="5" s="1"/>
  <c r="AD1550" i="16"/>
  <c r="AD1546" i="16" s="1"/>
  <c r="AZ23" i="5" s="1"/>
  <c r="AB1550" i="16"/>
  <c r="AB1546" i="16" s="1"/>
  <c r="AX23" i="5" s="1"/>
  <c r="AG1544" i="16"/>
  <c r="AG1538" i="16"/>
  <c r="AF1530" i="16"/>
  <c r="AD1530" i="16"/>
  <c r="AG1528" i="16"/>
  <c r="AE1512" i="16"/>
  <c r="AG1512" i="16"/>
  <c r="AG1504" i="16"/>
  <c r="AG1494" i="16"/>
  <c r="AE1486" i="16"/>
  <c r="AE1477" i="16"/>
  <c r="AG1477" i="16"/>
  <c r="AG1465" i="16"/>
  <c r="AE1453" i="16"/>
  <c r="AG1453" i="16"/>
  <c r="AG1447" i="16"/>
  <c r="AE1447" i="16"/>
  <c r="AG1441" i="16"/>
  <c r="AG1435" i="16"/>
  <c r="AE1429" i="16"/>
  <c r="AG1421" i="16"/>
  <c r="AC1421" i="16"/>
  <c r="AC1550" i="16" s="1"/>
  <c r="AG1415" i="16"/>
  <c r="AE1415" i="16"/>
  <c r="AF1407" i="16"/>
  <c r="AF1405" i="16"/>
  <c r="AE1405" i="16"/>
  <c r="AE1377" i="16"/>
  <c r="AG1377" i="16"/>
  <c r="AC1371" i="16"/>
  <c r="AD1327" i="16"/>
  <c r="AD1407" i="16" s="1"/>
  <c r="AD1403" i="16" s="1"/>
  <c r="AG1327" i="16"/>
  <c r="AG1316" i="16"/>
  <c r="AG1310" i="16"/>
  <c r="AG1304" i="16"/>
  <c r="AG1287" i="16"/>
  <c r="AG1281" i="16"/>
  <c r="AG1274" i="16"/>
  <c r="AE1258" i="16"/>
  <c r="AE1289" i="16" s="1"/>
  <c r="AG1248" i="16"/>
  <c r="AE1224" i="16"/>
  <c r="AC1224" i="16"/>
  <c r="AE1218" i="16"/>
  <c r="AC1218" i="16"/>
  <c r="AG1218" i="16"/>
  <c r="AD1212" i="16"/>
  <c r="AD1205" i="16"/>
  <c r="AG1197" i="16"/>
  <c r="AE1197" i="16"/>
  <c r="AG1191" i="16"/>
  <c r="AG1183" i="16"/>
  <c r="AC1183" i="16"/>
  <c r="AG1177" i="16"/>
  <c r="AC1177" i="16"/>
  <c r="AG1147" i="16"/>
  <c r="AE1147" i="16"/>
  <c r="AG1139" i="16"/>
  <c r="AG1133" i="16"/>
  <c r="AE1127" i="16"/>
  <c r="AC1127" i="16"/>
  <c r="AG1127" i="16"/>
  <c r="AE1121" i="16"/>
  <c r="AG1115" i="16"/>
  <c r="AG1109" i="16"/>
  <c r="AE1109" i="16"/>
  <c r="AG1087" i="16"/>
  <c r="AG1079" i="16"/>
  <c r="AG1071" i="16"/>
  <c r="AE1057" i="16"/>
  <c r="AG1051" i="16"/>
  <c r="AG1037" i="16"/>
  <c r="AG1031" i="16"/>
  <c r="AG1025" i="16"/>
  <c r="AG1019" i="16"/>
  <c r="AG1013" i="16"/>
  <c r="AG1006" i="16"/>
  <c r="AG1000" i="16"/>
  <c r="AG994" i="16"/>
  <c r="AG988" i="16"/>
  <c r="AG982" i="16"/>
  <c r="AG976" i="16"/>
  <c r="AE970" i="16"/>
  <c r="AG963" i="16"/>
  <c r="AG957" i="16"/>
  <c r="AG943" i="16"/>
  <c r="AG927" i="16"/>
  <c r="AE921" i="16"/>
  <c r="AG921" i="16"/>
  <c r="AG913" i="16"/>
  <c r="AG905" i="16"/>
  <c r="AE905" i="16"/>
  <c r="AG861" i="16"/>
  <c r="AG855" i="16"/>
  <c r="AG849" i="16"/>
  <c r="AD849" i="16"/>
  <c r="AG836" i="16"/>
  <c r="AG829" i="16"/>
  <c r="AD823" i="16"/>
  <c r="AG823" i="16"/>
  <c r="AF816" i="16"/>
  <c r="AD816" i="16"/>
  <c r="AC816" i="16"/>
  <c r="AB816" i="16"/>
  <c r="AE778" i="16"/>
  <c r="AG778" i="16"/>
  <c r="AE772" i="16"/>
  <c r="AG772" i="16"/>
  <c r="AG766" i="16"/>
  <c r="AE766" i="16"/>
  <c r="AG760" i="16"/>
  <c r="AE760" i="16"/>
  <c r="AG730" i="16"/>
  <c r="AE730" i="16"/>
  <c r="AG717" i="16"/>
  <c r="AE711" i="16"/>
  <c r="AG699" i="16"/>
  <c r="AE691" i="16"/>
  <c r="AG691" i="16"/>
  <c r="AG682" i="16"/>
  <c r="AG674" i="16"/>
  <c r="AG641" i="16"/>
  <c r="AE631" i="16"/>
  <c r="AG631" i="16"/>
  <c r="AE622" i="16"/>
  <c r="AG622" i="16"/>
  <c r="AE600" i="16"/>
  <c r="AE592" i="16"/>
  <c r="AG584" i="16"/>
  <c r="AE566" i="16"/>
  <c r="AE568" i="16" s="1"/>
  <c r="AC566" i="16"/>
  <c r="AC568" i="16" s="1"/>
  <c r="AG542" i="16"/>
  <c r="AE536" i="16"/>
  <c r="AE556" i="16" s="1"/>
  <c r="AC536" i="16"/>
  <c r="AG521" i="16"/>
  <c r="AG497" i="16"/>
  <c r="AG476" i="16"/>
  <c r="AG464" i="16"/>
  <c r="AG458" i="16"/>
  <c r="AF449" i="16"/>
  <c r="AF451" i="16" s="1"/>
  <c r="AE449" i="16"/>
  <c r="AE451" i="16" s="1"/>
  <c r="AG431" i="16"/>
  <c r="AE425" i="16"/>
  <c r="AE439" i="16" s="1"/>
  <c r="AD425" i="16"/>
  <c r="AD439" i="16" s="1"/>
  <c r="AG413" i="16"/>
  <c r="AG415" i="16" s="1"/>
  <c r="AG402" i="16"/>
  <c r="AG396" i="16"/>
  <c r="AG387" i="16"/>
  <c r="AG381" i="16"/>
  <c r="AG372" i="16"/>
  <c r="AG366" i="16"/>
  <c r="AG360" i="16"/>
  <c r="AG343" i="16"/>
  <c r="AG337" i="16"/>
  <c r="AG331" i="16"/>
  <c r="AG325" i="16"/>
  <c r="AG319" i="16"/>
  <c r="AE306" i="16"/>
  <c r="AG306" i="16"/>
  <c r="AG300" i="16"/>
  <c r="AE300" i="16"/>
  <c r="AG294" i="16"/>
  <c r="AG249" i="16"/>
  <c r="AG243" i="16"/>
  <c r="AG237" i="16"/>
  <c r="AG231" i="16"/>
  <c r="AG225" i="16"/>
  <c r="AG219" i="16"/>
  <c r="AG201" i="16"/>
  <c r="AG175" i="16"/>
  <c r="AE2288" i="16"/>
  <c r="AD2288" i="16"/>
  <c r="AC2288" i="16"/>
  <c r="AF139" i="16"/>
  <c r="AF173" i="16" s="1"/>
  <c r="AF177" i="16" s="1"/>
  <c r="AE139" i="16"/>
  <c r="AC173" i="16"/>
  <c r="AC177" i="16" s="1"/>
  <c r="AF128" i="16"/>
  <c r="AE128" i="16"/>
  <c r="AC128" i="16"/>
  <c r="AG128" i="16"/>
  <c r="AF110" i="16"/>
  <c r="AE110" i="16"/>
  <c r="AF99" i="16"/>
  <c r="AE99" i="16"/>
  <c r="AC99" i="16"/>
  <c r="AF88" i="16"/>
  <c r="AE88" i="16"/>
  <c r="AC88" i="16"/>
  <c r="AB88" i="16"/>
  <c r="AF73" i="16"/>
  <c r="AE73" i="16"/>
  <c r="AC73" i="16"/>
  <c r="AG71" i="16"/>
  <c r="AF63" i="16"/>
  <c r="AE63" i="16"/>
  <c r="AC63" i="16"/>
  <c r="AF52" i="16"/>
  <c r="AE52" i="16"/>
  <c r="AC52" i="16"/>
  <c r="AG52" i="16"/>
  <c r="AF42" i="16"/>
  <c r="AE42" i="16"/>
  <c r="AF29" i="16"/>
  <c r="AE29" i="16"/>
  <c r="AG29" i="16"/>
  <c r="AE569" i="4"/>
  <c r="AE565" i="4"/>
  <c r="AG562" i="4"/>
  <c r="AG558" i="4"/>
  <c r="AG557" i="4"/>
  <c r="AG556" i="4"/>
  <c r="AG555" i="4"/>
  <c r="AG550" i="4"/>
  <c r="AG536" i="4"/>
  <c r="AG535" i="4"/>
  <c r="AG534" i="4"/>
  <c r="AC526" i="4"/>
  <c r="AB526" i="4"/>
  <c r="AD522" i="4"/>
  <c r="AF520" i="4"/>
  <c r="AE520" i="4"/>
  <c r="AC520" i="4"/>
  <c r="AC528" i="4" s="1"/>
  <c r="AB520" i="4"/>
  <c r="AB524" i="4" s="1"/>
  <c r="AG515" i="4"/>
  <c r="AD508" i="4"/>
  <c r="AD520" i="4" s="1"/>
  <c r="AG505" i="4"/>
  <c r="AG504" i="4"/>
  <c r="AG493" i="4"/>
  <c r="AG492" i="4"/>
  <c r="AG491" i="4"/>
  <c r="AG490" i="4"/>
  <c r="AD487" i="4"/>
  <c r="AG485" i="4"/>
  <c r="AG484" i="4"/>
  <c r="AG483" i="4"/>
  <c r="AG482" i="4"/>
  <c r="AG481" i="4"/>
  <c r="AG480" i="4"/>
  <c r="AG479" i="4"/>
  <c r="AG478" i="4"/>
  <c r="AG477" i="4"/>
  <c r="AG476" i="4"/>
  <c r="AG475" i="4"/>
  <c r="AG474" i="4"/>
  <c r="AG473" i="4"/>
  <c r="AG472" i="4"/>
  <c r="AG471" i="4"/>
  <c r="AG470" i="4"/>
  <c r="AG469" i="4"/>
  <c r="AG468" i="4"/>
  <c r="AG467" i="4"/>
  <c r="AG466" i="4"/>
  <c r="AG465" i="4"/>
  <c r="AG464" i="4"/>
  <c r="AG463" i="4"/>
  <c r="AG462" i="4"/>
  <c r="AF459" i="4"/>
  <c r="Y34" i="5" s="1"/>
  <c r="AE459" i="4"/>
  <c r="X34" i="5" s="1"/>
  <c r="W37" i="5"/>
  <c r="AG456" i="4"/>
  <c r="AG455" i="4"/>
  <c r="AG454" i="4"/>
  <c r="AG453" i="4"/>
  <c r="AG452" i="4"/>
  <c r="AG451" i="4"/>
  <c r="AG450" i="4"/>
  <c r="AG449" i="4"/>
  <c r="AG448" i="4"/>
  <c r="AG447" i="4"/>
  <c r="AG446" i="4"/>
  <c r="AG445" i="4"/>
  <c r="AG444" i="4"/>
  <c r="AG443" i="4"/>
  <c r="AG459" i="4" s="1"/>
  <c r="AD440" i="4"/>
  <c r="AG438" i="4"/>
  <c r="AG437" i="4"/>
  <c r="AG436" i="4"/>
  <c r="AG435" i="4"/>
  <c r="AG434" i="4"/>
  <c r="AG433" i="4"/>
  <c r="AG432" i="4"/>
  <c r="AG431" i="4"/>
  <c r="AG430" i="4"/>
  <c r="AG429" i="4"/>
  <c r="AG428" i="4"/>
  <c r="AG427" i="4"/>
  <c r="AG426" i="4"/>
  <c r="AG425" i="4"/>
  <c r="AG424" i="4"/>
  <c r="AG423" i="4"/>
  <c r="AG422" i="4"/>
  <c r="AG421" i="4"/>
  <c r="AG420" i="4"/>
  <c r="AG419" i="4"/>
  <c r="AG418" i="4"/>
  <c r="AG417" i="4"/>
  <c r="AG416" i="4"/>
  <c r="AG415" i="4"/>
  <c r="AG414" i="4"/>
  <c r="AG413" i="4"/>
  <c r="AF408" i="4"/>
  <c r="AE408" i="4"/>
  <c r="AD408" i="4"/>
  <c r="AC408" i="4"/>
  <c r="AF402" i="4"/>
  <c r="AE402" i="4"/>
  <c r="AD402" i="4"/>
  <c r="AC402" i="4"/>
  <c r="U31" i="5"/>
  <c r="AG395" i="4"/>
  <c r="U30" i="5"/>
  <c r="AG386" i="4"/>
  <c r="AB378" i="4"/>
  <c r="AB380" i="4" s="1"/>
  <c r="AG376" i="4"/>
  <c r="AG371" i="4"/>
  <c r="AG370" i="4"/>
  <c r="AG369" i="4"/>
  <c r="AG368" i="4"/>
  <c r="AG363" i="4"/>
  <c r="AG362" i="4"/>
  <c r="AG361" i="4"/>
  <c r="AG360" i="4"/>
  <c r="AG359" i="4"/>
  <c r="AB353" i="4"/>
  <c r="AG351" i="4"/>
  <c r="AB348" i="4"/>
  <c r="AG346" i="4"/>
  <c r="AB343" i="4"/>
  <c r="AG341" i="4"/>
  <c r="AG340" i="4"/>
  <c r="AG335" i="4"/>
  <c r="AG334" i="4"/>
  <c r="AG333" i="4"/>
  <c r="AB330" i="4"/>
  <c r="AG328" i="4"/>
  <c r="AG327" i="4"/>
  <c r="AB324" i="4"/>
  <c r="AG322" i="4"/>
  <c r="AG321" i="4"/>
  <c r="AG320" i="4"/>
  <c r="AG319" i="4"/>
  <c r="AG318" i="4"/>
  <c r="AG317" i="4"/>
  <c r="AG316" i="4"/>
  <c r="AG315" i="4"/>
  <c r="AG314" i="4"/>
  <c r="AG313" i="4"/>
  <c r="AG305" i="4"/>
  <c r="AG300" i="4"/>
  <c r="AG295" i="4"/>
  <c r="AG289" i="4"/>
  <c r="AG288" i="4"/>
  <c r="AG287" i="4"/>
  <c r="AG269" i="4"/>
  <c r="AG268" i="4"/>
  <c r="AG267" i="4"/>
  <c r="AG266" i="4"/>
  <c r="AG265" i="4"/>
  <c r="AG257" i="4"/>
  <c r="AG256" i="4"/>
  <c r="AG255" i="4"/>
  <c r="AG254" i="4"/>
  <c r="AG253" i="4"/>
  <c r="AG252" i="4"/>
  <c r="AG247" i="4"/>
  <c r="AG246" i="4"/>
  <c r="AG245" i="4"/>
  <c r="AG240" i="4"/>
  <c r="AG239" i="4"/>
  <c r="AG238" i="4"/>
  <c r="AG232" i="4"/>
  <c r="AG231" i="4"/>
  <c r="AG230" i="4"/>
  <c r="AG229" i="4"/>
  <c r="AG228" i="4"/>
  <c r="AG227" i="4"/>
  <c r="AG226" i="4"/>
  <c r="AG225" i="4"/>
  <c r="AG224" i="4"/>
  <c r="AG223" i="4"/>
  <c r="AG222" i="4"/>
  <c r="AG221" i="4"/>
  <c r="AG220" i="4"/>
  <c r="AG219" i="4"/>
  <c r="AG218" i="4"/>
  <c r="AG217" i="4"/>
  <c r="AG216" i="4"/>
  <c r="AG210" i="4"/>
  <c r="AG204" i="4"/>
  <c r="AG203" i="4"/>
  <c r="AG202" i="4"/>
  <c r="AG201" i="4"/>
  <c r="AG195" i="4"/>
  <c r="AG184" i="4"/>
  <c r="AG183" i="4"/>
  <c r="AG176" i="4"/>
  <c r="AG175" i="4"/>
  <c r="AG174" i="4"/>
  <c r="AG173" i="4"/>
  <c r="AG165" i="4"/>
  <c r="AG160" i="4"/>
  <c r="AG155" i="4"/>
  <c r="AG150" i="4"/>
  <c r="AG149" i="4"/>
  <c r="AG144" i="4"/>
  <c r="AG143" i="4"/>
  <c r="AF135" i="4"/>
  <c r="AE135" i="4"/>
  <c r="AD135" i="4"/>
  <c r="AC135" i="4"/>
  <c r="AB135" i="4"/>
  <c r="AE133" i="4"/>
  <c r="AD133" i="4"/>
  <c r="AB133" i="4"/>
  <c r="AF131" i="4"/>
  <c r="AE131" i="4"/>
  <c r="AD131" i="4"/>
  <c r="AC131" i="4"/>
  <c r="AB131" i="4"/>
  <c r="AG127" i="4"/>
  <c r="AG126" i="4"/>
  <c r="AG125" i="4"/>
  <c r="AG124" i="4"/>
  <c r="AG123" i="4"/>
  <c r="AG122" i="4"/>
  <c r="AG121" i="4"/>
  <c r="AG112" i="4"/>
  <c r="AF109" i="4"/>
  <c r="AC109" i="4"/>
  <c r="AG107" i="4"/>
  <c r="AG106" i="4"/>
  <c r="AG105" i="4"/>
  <c r="AG104" i="4"/>
  <c r="AG103" i="4"/>
  <c r="AG102" i="4"/>
  <c r="AG101" i="4"/>
  <c r="AF98" i="4"/>
  <c r="AC98" i="4"/>
  <c r="AG96" i="4"/>
  <c r="AG95" i="4"/>
  <c r="AG93" i="4"/>
  <c r="AG92" i="4"/>
  <c r="AG91" i="4"/>
  <c r="AG90" i="4"/>
  <c r="AG89" i="4"/>
  <c r="AG88" i="4"/>
  <c r="AG87" i="4"/>
  <c r="AG82" i="4"/>
  <c r="AG81" i="4"/>
  <c r="AG80" i="4"/>
  <c r="AG79" i="4"/>
  <c r="AG78" i="4"/>
  <c r="AF75" i="4"/>
  <c r="AG68" i="4"/>
  <c r="AF65" i="4"/>
  <c r="AC65" i="4"/>
  <c r="AG63" i="4"/>
  <c r="AG62" i="4"/>
  <c r="AG60" i="4"/>
  <c r="AG59" i="4"/>
  <c r="AG58" i="4"/>
  <c r="AF55" i="4"/>
  <c r="AC55" i="4"/>
  <c r="AG53" i="4"/>
  <c r="AG52" i="4"/>
  <c r="AG51" i="4"/>
  <c r="AF48" i="4"/>
  <c r="AC48" i="4"/>
  <c r="AF41" i="4"/>
  <c r="AC41" i="4"/>
  <c r="AG39" i="4"/>
  <c r="AG38" i="4"/>
  <c r="AG37" i="4"/>
  <c r="AG36" i="4"/>
  <c r="AG27" i="4"/>
  <c r="AG33" i="4" s="1"/>
  <c r="AF24" i="4"/>
  <c r="AG22" i="4"/>
  <c r="AG21" i="4"/>
  <c r="AG20" i="4"/>
  <c r="AG19" i="4"/>
  <c r="AG18" i="4"/>
  <c r="AF15" i="4"/>
  <c r="AG13" i="4"/>
  <c r="AG12" i="4"/>
  <c r="AG11" i="4"/>
  <c r="AG10" i="4"/>
  <c r="AE2038" i="16" l="1"/>
  <c r="AX18" i="5"/>
  <c r="AE1407" i="16"/>
  <c r="AE1403" i="16" s="1"/>
  <c r="BA21" i="5" s="1"/>
  <c r="BA8" i="5"/>
  <c r="AF1242" i="16"/>
  <c r="AC1407" i="16"/>
  <c r="AC1403" i="16" s="1"/>
  <c r="AY21" i="5" s="1"/>
  <c r="AC1240" i="16"/>
  <c r="AB1242" i="16"/>
  <c r="AB1238" i="16" s="1"/>
  <c r="AX20" i="5" s="1"/>
  <c r="AD863" i="16"/>
  <c r="AD1242" i="16" s="1"/>
  <c r="AD1240" i="16"/>
  <c r="AE1240" i="16"/>
  <c r="AZ21" i="5"/>
  <c r="AF1403" i="16"/>
  <c r="BB21" i="5" s="1"/>
  <c r="BB18" i="5"/>
  <c r="BE50" i="5"/>
  <c r="BE44" i="5"/>
  <c r="BE18" i="5"/>
  <c r="BF18" i="5" s="1"/>
  <c r="AG389" i="16"/>
  <c r="AG2049" i="16"/>
  <c r="BC27" i="5"/>
  <c r="BA29" i="5"/>
  <c r="AE353" i="16"/>
  <c r="AE406" i="16" s="1"/>
  <c r="AG2201" i="16"/>
  <c r="AE816" i="16"/>
  <c r="AC2034" i="16"/>
  <c r="AY26" i="18" s="1"/>
  <c r="AY44" i="18" s="1"/>
  <c r="AY50" i="18" s="1"/>
  <c r="AB2055" i="16"/>
  <c r="AB2292" i="16" s="1"/>
  <c r="AF2055" i="16"/>
  <c r="AE2234" i="16"/>
  <c r="BA34" i="5" s="1"/>
  <c r="V42" i="5"/>
  <c r="V49" i="5"/>
  <c r="Y49" i="5"/>
  <c r="AB49" i="5"/>
  <c r="AB42" i="5"/>
  <c r="U22" i="5"/>
  <c r="Y42" i="5"/>
  <c r="U37" i="5"/>
  <c r="AD137" i="4"/>
  <c r="X28" i="5"/>
  <c r="U18" i="5"/>
  <c r="V37" i="5"/>
  <c r="AG146" i="4"/>
  <c r="V32" i="5"/>
  <c r="V18" i="5"/>
  <c r="Y22" i="5"/>
  <c r="W42" i="5"/>
  <c r="AB137" i="4"/>
  <c r="AG84" i="4"/>
  <c r="AG207" i="4"/>
  <c r="AG330" i="4"/>
  <c r="W22" i="5"/>
  <c r="X22" i="5"/>
  <c r="U28" i="5"/>
  <c r="AB22" i="5"/>
  <c r="AC22" i="5" s="1"/>
  <c r="AB18" i="5"/>
  <c r="AF404" i="4"/>
  <c r="AB528" i="4"/>
  <c r="AG552" i="4"/>
  <c r="AE571" i="4"/>
  <c r="AG157" i="4"/>
  <c r="AG297" i="4"/>
  <c r="U32" i="5"/>
  <c r="AF573" i="4"/>
  <c r="AG542" i="4"/>
  <c r="AG560" i="4"/>
  <c r="Z48" i="5"/>
  <c r="AB573" i="4"/>
  <c r="X37" i="5"/>
  <c r="W34" i="5"/>
  <c r="AG162" i="4"/>
  <c r="AG198" i="4"/>
  <c r="AG402" i="4"/>
  <c r="AG302" i="4"/>
  <c r="AG353" i="4"/>
  <c r="Z31" i="5"/>
  <c r="AD573" i="4"/>
  <c r="AG518" i="4"/>
  <c r="Z41" i="5" s="1"/>
  <c r="AG544" i="4"/>
  <c r="AG569" i="4"/>
  <c r="Y32" i="5"/>
  <c r="AG167" i="4"/>
  <c r="AG213" i="4"/>
  <c r="AG307" i="4"/>
  <c r="AG309" i="4" s="1"/>
  <c r="AE404" i="4"/>
  <c r="AB577" i="4"/>
  <c r="Z47" i="5"/>
  <c r="AG118" i="4"/>
  <c r="Y37" i="5"/>
  <c r="W28" i="5"/>
  <c r="X18" i="5"/>
  <c r="V28" i="5"/>
  <c r="W18" i="5"/>
  <c r="AB28" i="5"/>
  <c r="AC28" i="5" s="1"/>
  <c r="Z17" i="5"/>
  <c r="Z10" i="5"/>
  <c r="AG131" i="4"/>
  <c r="Y28" i="5"/>
  <c r="Y26" i="5"/>
  <c r="Z14" i="5"/>
  <c r="AG392" i="4"/>
  <c r="Z30" i="5" s="1"/>
  <c r="AG378" i="4"/>
  <c r="AG348" i="4"/>
  <c r="AG337" i="4"/>
  <c r="AG259" i="4"/>
  <c r="AG187" i="4"/>
  <c r="AG152" i="4"/>
  <c r="Z11" i="5"/>
  <c r="BA18" i="5"/>
  <c r="Z9" i="5"/>
  <c r="Y18" i="5"/>
  <c r="AZ18" i="5"/>
  <c r="Z16" i="5"/>
  <c r="Z8" i="5"/>
  <c r="AH102" i="4"/>
  <c r="AG18" i="16"/>
  <c r="AE1754" i="16"/>
  <c r="AE1530" i="16"/>
  <c r="AC1185" i="16"/>
  <c r="AE633" i="16"/>
  <c r="AC556" i="16"/>
  <c r="AG2207" i="16"/>
  <c r="AG1185" i="16"/>
  <c r="AG1039" i="16"/>
  <c r="AG404" i="16"/>
  <c r="AG194" i="16"/>
  <c r="AG271" i="16"/>
  <c r="AG1868" i="16"/>
  <c r="AG1942" i="16"/>
  <c r="AG2276" i="16"/>
  <c r="AG2286" i="16" s="1"/>
  <c r="AG42" i="16"/>
  <c r="AG312" i="16"/>
  <c r="AG449" i="16"/>
  <c r="AG451" i="16" s="1"/>
  <c r="AG491" i="16"/>
  <c r="AG515" i="16"/>
  <c r="AG536" i="16"/>
  <c r="AG575" i="16"/>
  <c r="AG754" i="16"/>
  <c r="AG88" i="16"/>
  <c r="AB2288" i="16"/>
  <c r="AF2288" i="16"/>
  <c r="AG186" i="16"/>
  <c r="AG210" i="16"/>
  <c r="AG212" i="16" s="1"/>
  <c r="AG265" i="16"/>
  <c r="AG277" i="16"/>
  <c r="AG351" i="16"/>
  <c r="AG437" i="16"/>
  <c r="AG614" i="16"/>
  <c r="AG951" i="16"/>
  <c r="AG1401" i="16"/>
  <c r="AG1471" i="16"/>
  <c r="AG110" i="16"/>
  <c r="AG171" i="16"/>
  <c r="AG258" i="16"/>
  <c r="AG285" i="16"/>
  <c r="AG1170" i="16"/>
  <c r="AG251" i="16"/>
  <c r="AG970" i="16"/>
  <c r="AG1057" i="16"/>
  <c r="AG1212" i="16"/>
  <c r="AG1339" i="16"/>
  <c r="AG63" i="16"/>
  <c r="AG73" i="16"/>
  <c r="AG169" i="16"/>
  <c r="AG425" i="16"/>
  <c r="AG470" i="16"/>
  <c r="AG478" i="16" s="1"/>
  <c r="AG485" i="16"/>
  <c r="AG509" i="16"/>
  <c r="AG554" i="16"/>
  <c r="AG600" i="16"/>
  <c r="AG659" i="16"/>
  <c r="AG742" i="16"/>
  <c r="AG935" i="16"/>
  <c r="AG1045" i="16"/>
  <c r="AG1064" i="16"/>
  <c r="AG1459" i="16"/>
  <c r="AG2284" i="16"/>
  <c r="BC36" i="5" s="1"/>
  <c r="AG887" i="16"/>
  <c r="AG899" i="16"/>
  <c r="AG1577" i="16"/>
  <c r="AG1702" i="16"/>
  <c r="AG1857" i="16"/>
  <c r="AG1973" i="16"/>
  <c r="AG2108" i="16"/>
  <c r="AG139" i="16"/>
  <c r="AG592" i="16"/>
  <c r="AG608" i="16"/>
  <c r="AG650" i="16"/>
  <c r="AG711" i="16"/>
  <c r="AG724" i="16"/>
  <c r="AG736" i="16"/>
  <c r="AG748" i="16"/>
  <c r="AG843" i="16"/>
  <c r="AG863" i="16" s="1"/>
  <c r="AG1363" i="16"/>
  <c r="AC1546" i="16"/>
  <c r="AY23" i="5" s="1"/>
  <c r="AG1429" i="16"/>
  <c r="AG1728" i="16"/>
  <c r="AG1767" i="16"/>
  <c r="AG1961" i="16"/>
  <c r="AB2234" i="16"/>
  <c r="AX34" i="5" s="1"/>
  <c r="AF2234" i="16"/>
  <c r="BB34" i="5" s="1"/>
  <c r="AF1238" i="16"/>
  <c r="AG875" i="16"/>
  <c r="AG1268" i="16"/>
  <c r="AG1389" i="16"/>
  <c r="AG1780" i="16"/>
  <c r="AG1782" i="16" s="1"/>
  <c r="AG374" i="16"/>
  <c r="AG503" i="16"/>
  <c r="AG527" i="16"/>
  <c r="AG548" i="16"/>
  <c r="AG566" i="16"/>
  <c r="AG568" i="16" s="1"/>
  <c r="AG666" i="16"/>
  <c r="AG869" i="16"/>
  <c r="AG881" i="16"/>
  <c r="AG893" i="16"/>
  <c r="AG1155" i="16"/>
  <c r="AG1258" i="16"/>
  <c r="AG1351" i="16"/>
  <c r="AE1550" i="16"/>
  <c r="AE1546" i="16" s="1"/>
  <c r="BA23" i="5" s="1"/>
  <c r="AG1630" i="16"/>
  <c r="AG1686" i="16"/>
  <c r="BA25" i="5"/>
  <c r="AG1967" i="16"/>
  <c r="AD2034" i="16"/>
  <c r="AG2236" i="16"/>
  <c r="AG2238" i="16"/>
  <c r="AG1224" i="16"/>
  <c r="AG1333" i="16"/>
  <c r="AG1345" i="16"/>
  <c r="AG1405" i="16"/>
  <c r="AG1357" i="16"/>
  <c r="AG1371" i="16"/>
  <c r="AG1383" i="16"/>
  <c r="AG1395" i="16"/>
  <c r="AG1486" i="16"/>
  <c r="AG1520" i="16"/>
  <c r="AG1561" i="16"/>
  <c r="AG1585" i="16"/>
  <c r="AG1614" i="16"/>
  <c r="AG1654" i="16"/>
  <c r="AG1710" i="16"/>
  <c r="AG1748" i="16"/>
  <c r="AG1843" i="16"/>
  <c r="AB2057" i="16"/>
  <c r="AB2034" i="16"/>
  <c r="AX26" i="18" s="1"/>
  <c r="AX44" i="18" s="1"/>
  <c r="AX50" i="18" s="1"/>
  <c r="AG2095" i="16"/>
  <c r="AC2234" i="16"/>
  <c r="AY34" i="5" s="1"/>
  <c r="AE2249" i="16"/>
  <c r="AG1095" i="16"/>
  <c r="AG1121" i="16"/>
  <c r="AG1924" i="16"/>
  <c r="AG2083" i="16"/>
  <c r="AD2234" i="16"/>
  <c r="AZ34" i="5" s="1"/>
  <c r="AC2055" i="16"/>
  <c r="AC2292" i="16" s="1"/>
  <c r="AG2089" i="16"/>
  <c r="AG2102" i="16"/>
  <c r="AD577" i="4"/>
  <c r="AG343" i="4"/>
  <c r="AF577" i="4"/>
  <c r="AG65" i="4"/>
  <c r="AG135" i="4"/>
  <c r="AC577" i="4"/>
  <c r="AG41" i="4"/>
  <c r="AC137" i="4"/>
  <c r="AG235" i="4"/>
  <c r="AG249" i="4"/>
  <c r="AC404" i="4"/>
  <c r="AG440" i="4"/>
  <c r="AG487" i="4"/>
  <c r="AD497" i="4"/>
  <c r="AE573" i="4"/>
  <c r="AC524" i="4"/>
  <c r="AG15" i="4"/>
  <c r="AG109" i="4"/>
  <c r="AE137" i="4"/>
  <c r="AG242" i="4"/>
  <c r="AG365" i="4"/>
  <c r="AG373" i="4"/>
  <c r="AD404" i="4"/>
  <c r="AG495" i="4"/>
  <c r="Z36" i="5" s="1"/>
  <c r="AE577" i="4"/>
  <c r="AG538" i="4"/>
  <c r="AG571" i="4"/>
  <c r="AG24" i="4"/>
  <c r="AG55" i="4"/>
  <c r="AG75" i="4"/>
  <c r="AG98" i="4"/>
  <c r="AF133" i="4"/>
  <c r="AF137" i="4" s="1"/>
  <c r="AB355" i="4"/>
  <c r="AB382" i="4" s="1"/>
  <c r="AB408" i="4" s="1"/>
  <c r="AC573" i="4"/>
  <c r="AG508" i="4"/>
  <c r="AG520" i="4" s="1"/>
  <c r="AG129" i="4"/>
  <c r="AG271" i="4"/>
  <c r="AG291" i="4"/>
  <c r="AG565" i="4"/>
  <c r="AG324" i="4"/>
  <c r="AG355" i="4" s="1"/>
  <c r="AG180" i="4"/>
  <c r="W526" i="4"/>
  <c r="Q33" i="19"/>
  <c r="R33" i="19"/>
  <c r="Q34" i="19"/>
  <c r="R34" i="19"/>
  <c r="P34" i="19"/>
  <c r="P33" i="19"/>
  <c r="AZ26" i="18" l="1"/>
  <c r="AZ44" i="18" s="1"/>
  <c r="AZ50" i="18" s="1"/>
  <c r="AG2038" i="16"/>
  <c r="AG1742" i="16"/>
  <c r="AC1242" i="16"/>
  <c r="AC1238" i="16" s="1"/>
  <c r="AE1242" i="16"/>
  <c r="AE1238" i="16" s="1"/>
  <c r="AG1240" i="16"/>
  <c r="AG1597" i="16"/>
  <c r="AG2110" i="16"/>
  <c r="BC29" i="5" s="1"/>
  <c r="AG1103" i="16"/>
  <c r="AD2055" i="16"/>
  <c r="AD2292" i="16" s="1"/>
  <c r="AD1238" i="16"/>
  <c r="AZ20" i="5" s="1"/>
  <c r="AY26" i="5"/>
  <c r="AZ29" i="5"/>
  <c r="AG2234" i="16"/>
  <c r="BC34" i="5" s="1"/>
  <c r="AF2053" i="16"/>
  <c r="AF2290" i="16" s="1"/>
  <c r="AB2053" i="16"/>
  <c r="AB2290" i="16" s="1"/>
  <c r="AF2292" i="16"/>
  <c r="AG353" i="16"/>
  <c r="AE2055" i="16"/>
  <c r="AE2292" i="16" s="1"/>
  <c r="AF579" i="4"/>
  <c r="AE579" i="4"/>
  <c r="AC579" i="4"/>
  <c r="AC139" i="4"/>
  <c r="X32" i="5"/>
  <c r="Z35" i="5"/>
  <c r="AG546" i="4"/>
  <c r="AG380" i="4"/>
  <c r="AE575" i="4"/>
  <c r="AG169" i="4"/>
  <c r="AG189" i="4"/>
  <c r="V50" i="5"/>
  <c r="U29" i="5"/>
  <c r="AD575" i="4"/>
  <c r="Z39" i="5"/>
  <c r="Z42" i="5"/>
  <c r="Z46" i="5"/>
  <c r="Z43" i="5"/>
  <c r="Z45" i="5"/>
  <c r="AG573" i="4"/>
  <c r="Z34" i="5"/>
  <c r="W32" i="5"/>
  <c r="Z33" i="5"/>
  <c r="AG577" i="4"/>
  <c r="Z24" i="5"/>
  <c r="Y44" i="5"/>
  <c r="W50" i="5"/>
  <c r="Z13" i="5"/>
  <c r="Z15" i="5"/>
  <c r="Z12" i="5"/>
  <c r="Z32" i="5"/>
  <c r="AG273" i="4"/>
  <c r="Z26" i="5"/>
  <c r="Z25" i="5"/>
  <c r="AG261" i="4"/>
  <c r="Z21" i="5"/>
  <c r="Z20" i="5"/>
  <c r="AY18" i="5"/>
  <c r="V44" i="5"/>
  <c r="X50" i="5"/>
  <c r="X44" i="5"/>
  <c r="AD2057" i="16"/>
  <c r="AD2294" i="16" s="1"/>
  <c r="AG1530" i="16"/>
  <c r="AG1550" i="16"/>
  <c r="AG1546" i="16" s="1"/>
  <c r="BC23" i="5" s="1"/>
  <c r="AG1289" i="16"/>
  <c r="AG1407" i="16" s="1"/>
  <c r="AG1403" i="16" s="1"/>
  <c r="BC21" i="5" s="1"/>
  <c r="AG816" i="16"/>
  <c r="AG676" i="16"/>
  <c r="AG633" i="16"/>
  <c r="AG439" i="16"/>
  <c r="AG287" i="16"/>
  <c r="AG203" i="16"/>
  <c r="AB2294" i="16"/>
  <c r="AG556" i="16"/>
  <c r="AE2034" i="16"/>
  <c r="AG2288" i="16"/>
  <c r="AF2057" i="16"/>
  <c r="AF2294" i="16" s="1"/>
  <c r="AD579" i="4"/>
  <c r="AG497" i="4"/>
  <c r="AG133" i="4"/>
  <c r="AG137" i="4" s="1"/>
  <c r="AC575" i="4"/>
  <c r="AF575" i="4"/>
  <c r="AG382" i="4"/>
  <c r="AB579" i="4"/>
  <c r="AB404" i="4"/>
  <c r="AB575" i="4" s="1"/>
  <c r="Q39" i="18"/>
  <c r="R39" i="18"/>
  <c r="P39" i="18"/>
  <c r="Q39" i="19"/>
  <c r="R39" i="19"/>
  <c r="P39" i="19"/>
  <c r="O33" i="19"/>
  <c r="Q34" i="17"/>
  <c r="Q37" i="17" s="1"/>
  <c r="R34" i="17"/>
  <c r="R37" i="17" s="1"/>
  <c r="P34" i="17"/>
  <c r="P37" i="17" s="1"/>
  <c r="X526" i="4"/>
  <c r="Y526" i="4"/>
  <c r="X522" i="4"/>
  <c r="Y522" i="4"/>
  <c r="W522" i="4"/>
  <c r="U2174" i="16"/>
  <c r="V2174" i="16"/>
  <c r="W2174" i="16"/>
  <c r="X2174" i="16"/>
  <c r="Y2174" i="16"/>
  <c r="Z2115" i="16"/>
  <c r="AA2115" i="16" s="1"/>
  <c r="AH2115" i="16" s="1"/>
  <c r="W2117" i="16"/>
  <c r="U1240" i="16"/>
  <c r="Y1240" i="16"/>
  <c r="BA26" i="18" l="1"/>
  <c r="BA44" i="18" s="1"/>
  <c r="BA50" i="18" s="1"/>
  <c r="AZ26" i="5"/>
  <c r="AJ2115" i="16"/>
  <c r="AH2174" i="16"/>
  <c r="BC25" i="5"/>
  <c r="AD2053" i="16"/>
  <c r="AD2290" i="16" s="1"/>
  <c r="AE2057" i="16"/>
  <c r="AE2294" i="16" s="1"/>
  <c r="BB29" i="5"/>
  <c r="BB20" i="5"/>
  <c r="AX26" i="5"/>
  <c r="AC2053" i="16"/>
  <c r="AC2290" i="16" s="1"/>
  <c r="BA20" i="5"/>
  <c r="AG2055" i="16"/>
  <c r="AG2292" i="16" s="1"/>
  <c r="AG191" i="4"/>
  <c r="AG408" i="4"/>
  <c r="AG404" i="4" s="1"/>
  <c r="Z49" i="5"/>
  <c r="Z37" i="5"/>
  <c r="W44" i="5"/>
  <c r="Y50" i="5"/>
  <c r="AB50" i="5"/>
  <c r="AB44" i="5"/>
  <c r="Z29" i="5"/>
  <c r="U50" i="5"/>
  <c r="U44" i="5"/>
  <c r="Z22" i="5"/>
  <c r="Z18" i="5"/>
  <c r="AC2057" i="16"/>
  <c r="AC2294" i="16" s="1"/>
  <c r="AE2053" i="16"/>
  <c r="AE2290" i="16" s="1"/>
  <c r="AG1754" i="16"/>
  <c r="AG406" i="16"/>
  <c r="AG2034" i="16"/>
  <c r="O30" i="18"/>
  <c r="P30" i="18"/>
  <c r="Q30" i="18"/>
  <c r="R30" i="18"/>
  <c r="BA26" i="5" l="1"/>
  <c r="BC26" i="18"/>
  <c r="BC44" i="18" s="1"/>
  <c r="BC50" i="18" s="1"/>
  <c r="AG1242" i="16"/>
  <c r="AG1238" i="16" s="1"/>
  <c r="AZ50" i="5"/>
  <c r="AZ44" i="5"/>
  <c r="BB44" i="5"/>
  <c r="BB50" i="5"/>
  <c r="AX44" i="5"/>
  <c r="AX50" i="5"/>
  <c r="AY20" i="5"/>
  <c r="BA50" i="5"/>
  <c r="BA44" i="5"/>
  <c r="AG579" i="4"/>
  <c r="AG575" i="4"/>
  <c r="Z28" i="5"/>
  <c r="O14" i="18"/>
  <c r="P14" i="18"/>
  <c r="Q14" i="18"/>
  <c r="R14" i="18"/>
  <c r="N14" i="18"/>
  <c r="BC26" i="5" l="1"/>
  <c r="BC20" i="5"/>
  <c r="AG2053" i="16"/>
  <c r="AG2057" i="16"/>
  <c r="AY44" i="5"/>
  <c r="AY50" i="5"/>
  <c r="Z50" i="5"/>
  <c r="Z44" i="5"/>
  <c r="AQ29" i="18"/>
  <c r="AR29" i="18"/>
  <c r="AS29" i="18"/>
  <c r="AT29" i="18"/>
  <c r="AU29" i="18"/>
  <c r="AQ8" i="18"/>
  <c r="AR8" i="18"/>
  <c r="AS8" i="18"/>
  <c r="AT8" i="18"/>
  <c r="AU8" i="18"/>
  <c r="AQ8" i="17"/>
  <c r="AQ18" i="17" s="1"/>
  <c r="AQ44" i="17" s="1"/>
  <c r="AQ50" i="17" s="1"/>
  <c r="AR8" i="17"/>
  <c r="AR18" i="17" s="1"/>
  <c r="AR44" i="17" s="1"/>
  <c r="AR50" i="17" s="1"/>
  <c r="AS8" i="17"/>
  <c r="AS18" i="17" s="1"/>
  <c r="AS44" i="17" s="1"/>
  <c r="AS50" i="17" s="1"/>
  <c r="AT8" i="17"/>
  <c r="AT18" i="17" s="1"/>
  <c r="AT44" i="17" s="1"/>
  <c r="AT50" i="17" s="1"/>
  <c r="AU8" i="17"/>
  <c r="AU18" i="17" s="1"/>
  <c r="AU44" i="17" s="1"/>
  <c r="AU50" i="17" s="1"/>
  <c r="AQ10" i="18"/>
  <c r="AR10" i="18"/>
  <c r="AS10" i="18"/>
  <c r="AT10" i="18"/>
  <c r="AU10" i="18"/>
  <c r="N35" i="18"/>
  <c r="O35" i="18"/>
  <c r="P35" i="18"/>
  <c r="Q35" i="18"/>
  <c r="R35" i="18"/>
  <c r="N33" i="18"/>
  <c r="O33" i="18"/>
  <c r="P33" i="18"/>
  <c r="P33" i="5" s="1"/>
  <c r="Q33" i="18"/>
  <c r="Q33" i="5" s="1"/>
  <c r="R33" i="18"/>
  <c r="R33" i="5" s="1"/>
  <c r="N15" i="18"/>
  <c r="O15" i="18"/>
  <c r="P15" i="18"/>
  <c r="Q15" i="18"/>
  <c r="R15" i="18"/>
  <c r="M15" i="19"/>
  <c r="N15" i="19"/>
  <c r="O15" i="19"/>
  <c r="P15" i="19"/>
  <c r="Q15" i="19"/>
  <c r="R15" i="19"/>
  <c r="Y135" i="4"/>
  <c r="Y577" i="4" s="1"/>
  <c r="N8" i="19"/>
  <c r="O8" i="19"/>
  <c r="P8" i="19"/>
  <c r="Q8" i="19"/>
  <c r="R8" i="19"/>
  <c r="N11" i="19"/>
  <c r="O11" i="19"/>
  <c r="P11" i="19"/>
  <c r="Q11" i="19"/>
  <c r="R11" i="19"/>
  <c r="N13" i="19"/>
  <c r="O13" i="19"/>
  <c r="P13" i="19"/>
  <c r="Q13" i="19"/>
  <c r="R13" i="19"/>
  <c r="N17" i="19"/>
  <c r="O17" i="19"/>
  <c r="P17" i="19"/>
  <c r="Q17" i="19"/>
  <c r="R17" i="19"/>
  <c r="N20" i="19"/>
  <c r="O20" i="19"/>
  <c r="P20" i="19"/>
  <c r="Q20" i="19"/>
  <c r="R20" i="19"/>
  <c r="N21" i="19"/>
  <c r="O21" i="19"/>
  <c r="P21" i="19"/>
  <c r="Q21" i="19"/>
  <c r="R21" i="19"/>
  <c r="N24" i="19"/>
  <c r="O24" i="19"/>
  <c r="P24" i="19"/>
  <c r="Q24" i="19"/>
  <c r="R24" i="19"/>
  <c r="N33" i="19"/>
  <c r="N34" i="19"/>
  <c r="O34" i="19"/>
  <c r="N35" i="19"/>
  <c r="O35" i="19"/>
  <c r="P35" i="19"/>
  <c r="P37" i="19" s="1"/>
  <c r="Q35" i="19"/>
  <c r="Q37" i="19" s="1"/>
  <c r="R35" i="19"/>
  <c r="R37" i="19" s="1"/>
  <c r="N38" i="19"/>
  <c r="N42" i="19" s="1"/>
  <c r="O38" i="19"/>
  <c r="O38" i="5" s="1"/>
  <c r="P38" i="19"/>
  <c r="P38" i="5" s="1"/>
  <c r="Q38" i="19"/>
  <c r="Q38" i="5" s="1"/>
  <c r="R38" i="19"/>
  <c r="R42" i="19" s="1"/>
  <c r="S38" i="19"/>
  <c r="T38" i="19"/>
  <c r="T38" i="5" s="1"/>
  <c r="N43" i="19"/>
  <c r="O43" i="19"/>
  <c r="P43" i="19"/>
  <c r="Q43" i="19"/>
  <c r="R43" i="19"/>
  <c r="N46" i="19"/>
  <c r="O46" i="19"/>
  <c r="P46" i="19"/>
  <c r="Q46" i="19"/>
  <c r="R46" i="19"/>
  <c r="N47" i="19"/>
  <c r="O47" i="19"/>
  <c r="P47" i="19"/>
  <c r="Q47" i="19"/>
  <c r="R47" i="19"/>
  <c r="N8" i="18"/>
  <c r="O8" i="18"/>
  <c r="P8" i="18"/>
  <c r="Q8" i="18"/>
  <c r="R8" i="18"/>
  <c r="N9" i="18"/>
  <c r="N9" i="5" s="1"/>
  <c r="O9" i="18"/>
  <c r="O9" i="5" s="1"/>
  <c r="P9" i="18"/>
  <c r="P9" i="5" s="1"/>
  <c r="Q9" i="18"/>
  <c r="Q9" i="5" s="1"/>
  <c r="R9" i="18"/>
  <c r="R9" i="5" s="1"/>
  <c r="N10" i="18"/>
  <c r="N10" i="5" s="1"/>
  <c r="O10" i="18"/>
  <c r="P10" i="18"/>
  <c r="P10" i="5" s="1"/>
  <c r="Q10" i="18"/>
  <c r="Q10" i="5" s="1"/>
  <c r="R10" i="18"/>
  <c r="R10" i="5" s="1"/>
  <c r="N11" i="18"/>
  <c r="O11" i="18"/>
  <c r="P11" i="18"/>
  <c r="Q11" i="18"/>
  <c r="R11" i="18"/>
  <c r="N13" i="18"/>
  <c r="O13" i="18"/>
  <c r="P13" i="18"/>
  <c r="Q13" i="18"/>
  <c r="R13" i="18"/>
  <c r="N14" i="5"/>
  <c r="Q14" i="5"/>
  <c r="R14" i="5"/>
  <c r="N16" i="18"/>
  <c r="N16" i="5" s="1"/>
  <c r="O16" i="18"/>
  <c r="O16" i="5" s="1"/>
  <c r="P16" i="18"/>
  <c r="P16" i="5" s="1"/>
  <c r="Q16" i="18"/>
  <c r="Q16" i="5" s="1"/>
  <c r="R16" i="18"/>
  <c r="R16" i="5" s="1"/>
  <c r="N17" i="18"/>
  <c r="O17" i="18"/>
  <c r="P17" i="18"/>
  <c r="Q17" i="18"/>
  <c r="R17" i="18"/>
  <c r="N29" i="17"/>
  <c r="O29" i="17"/>
  <c r="P29" i="17"/>
  <c r="Q29" i="17"/>
  <c r="R29" i="17"/>
  <c r="N40" i="17"/>
  <c r="N40" i="5" s="1"/>
  <c r="O40" i="17"/>
  <c r="Q40" i="5"/>
  <c r="E31" i="18"/>
  <c r="O31" i="18"/>
  <c r="O31" i="5" s="1"/>
  <c r="P31" i="18"/>
  <c r="P31" i="5" s="1"/>
  <c r="Q31" i="18"/>
  <c r="Q31" i="5" s="1"/>
  <c r="R31" i="18"/>
  <c r="R31" i="5" s="1"/>
  <c r="O14" i="5"/>
  <c r="P14" i="5"/>
  <c r="N19" i="5"/>
  <c r="O19" i="5"/>
  <c r="P19" i="5"/>
  <c r="Q19" i="5"/>
  <c r="R19" i="5"/>
  <c r="S19" i="5"/>
  <c r="T19" i="5"/>
  <c r="N23" i="5"/>
  <c r="O23" i="5"/>
  <c r="P23" i="5"/>
  <c r="Q23" i="5"/>
  <c r="R23" i="5"/>
  <c r="S23" i="5"/>
  <c r="T23" i="5"/>
  <c r="N27" i="5"/>
  <c r="O27" i="5"/>
  <c r="P27" i="5"/>
  <c r="Q27" i="5"/>
  <c r="R27" i="5"/>
  <c r="S27" i="5"/>
  <c r="T27" i="5"/>
  <c r="O40" i="5"/>
  <c r="P40" i="5"/>
  <c r="R40" i="5"/>
  <c r="S40" i="5"/>
  <c r="T40" i="5"/>
  <c r="AQ8" i="19"/>
  <c r="AR8" i="19"/>
  <c r="AS8" i="19"/>
  <c r="AT8" i="19"/>
  <c r="AU8" i="19"/>
  <c r="AQ9" i="19"/>
  <c r="AR9" i="19"/>
  <c r="AS9" i="19"/>
  <c r="AT9" i="19"/>
  <c r="AU9" i="19"/>
  <c r="AQ10" i="19"/>
  <c r="AR10" i="19"/>
  <c r="AS10" i="19"/>
  <c r="AT10" i="19"/>
  <c r="AU10" i="19"/>
  <c r="AQ20" i="19"/>
  <c r="AU20" i="19"/>
  <c r="AQ21" i="19"/>
  <c r="AQ23" i="19"/>
  <c r="AR23" i="19"/>
  <c r="AS23" i="19"/>
  <c r="AT23" i="19"/>
  <c r="AU23" i="19"/>
  <c r="AV23" i="19"/>
  <c r="AW23" i="19"/>
  <c r="AQ25" i="19"/>
  <c r="AR25" i="19"/>
  <c r="AS25" i="19"/>
  <c r="AU25" i="19"/>
  <c r="AU26" i="19"/>
  <c r="AQ29" i="19"/>
  <c r="AR29" i="19"/>
  <c r="AQ31" i="19"/>
  <c r="AR31" i="19"/>
  <c r="AS31" i="19"/>
  <c r="AT31" i="19"/>
  <c r="AU31" i="19"/>
  <c r="AR9" i="18"/>
  <c r="AS9" i="18"/>
  <c r="AT9" i="18"/>
  <c r="AU9" i="18"/>
  <c r="AR25" i="18"/>
  <c r="AS25" i="18"/>
  <c r="AU25" i="18"/>
  <c r="AU26" i="18"/>
  <c r="AR27" i="18"/>
  <c r="AS27" i="18"/>
  <c r="AT27" i="18"/>
  <c r="AU27" i="18"/>
  <c r="AR31" i="18"/>
  <c r="AS31" i="18"/>
  <c r="AT31" i="18"/>
  <c r="AU31" i="18"/>
  <c r="AR36" i="18"/>
  <c r="AS36" i="18"/>
  <c r="AT36" i="18"/>
  <c r="AU36" i="18"/>
  <c r="AR46" i="18"/>
  <c r="AS46" i="18"/>
  <c r="AT46" i="18"/>
  <c r="AU46" i="18"/>
  <c r="AR48" i="18"/>
  <c r="AS48" i="18"/>
  <c r="AT48" i="18"/>
  <c r="AU48" i="18"/>
  <c r="AQ48" i="18"/>
  <c r="AQ46" i="18"/>
  <c r="AQ36" i="18"/>
  <c r="AQ31" i="18"/>
  <c r="AQ27" i="18"/>
  <c r="AQ25" i="18"/>
  <c r="AQ21" i="18"/>
  <c r="AQ9" i="18"/>
  <c r="R48" i="18"/>
  <c r="R48" i="5" s="1"/>
  <c r="Q48" i="18"/>
  <c r="Q48" i="5" s="1"/>
  <c r="P48" i="18"/>
  <c r="P48" i="5" s="1"/>
  <c r="O48" i="18"/>
  <c r="O48" i="5" s="1"/>
  <c r="N48" i="18"/>
  <c r="N48" i="5" s="1"/>
  <c r="R47" i="18"/>
  <c r="Q47" i="18"/>
  <c r="P47" i="18"/>
  <c r="O47" i="18"/>
  <c r="N47" i="18"/>
  <c r="R46" i="18"/>
  <c r="Q46" i="18"/>
  <c r="P46" i="18"/>
  <c r="O46" i="18"/>
  <c r="N46" i="18"/>
  <c r="R45" i="18"/>
  <c r="Q45" i="18"/>
  <c r="Q45" i="5" s="1"/>
  <c r="P45" i="18"/>
  <c r="P45" i="5" s="1"/>
  <c r="O45" i="18"/>
  <c r="O45" i="5" s="1"/>
  <c r="N45" i="18"/>
  <c r="R43" i="18"/>
  <c r="Q43" i="18"/>
  <c r="P43" i="18"/>
  <c r="O43" i="18"/>
  <c r="N43" i="18"/>
  <c r="R41" i="18"/>
  <c r="R41" i="5" s="1"/>
  <c r="Q41" i="18"/>
  <c r="Q41" i="5" s="1"/>
  <c r="P41" i="18"/>
  <c r="P41" i="5" s="1"/>
  <c r="O41" i="18"/>
  <c r="O41" i="5" s="1"/>
  <c r="N41" i="18"/>
  <c r="N41" i="5" s="1"/>
  <c r="R39" i="5"/>
  <c r="Q39" i="5"/>
  <c r="O39" i="18"/>
  <c r="O39" i="5" s="1"/>
  <c r="N39" i="18"/>
  <c r="N39" i="5" s="1"/>
  <c r="R36" i="18"/>
  <c r="R36" i="5" s="1"/>
  <c r="Q36" i="18"/>
  <c r="Q36" i="5" s="1"/>
  <c r="P36" i="18"/>
  <c r="O36" i="18"/>
  <c r="O36" i="5" s="1"/>
  <c r="N36" i="18"/>
  <c r="N36" i="5" s="1"/>
  <c r="O34" i="18"/>
  <c r="N34" i="18"/>
  <c r="R30" i="5"/>
  <c r="Q30" i="5"/>
  <c r="P30" i="5"/>
  <c r="O30" i="5"/>
  <c r="R29" i="18"/>
  <c r="Q29" i="18"/>
  <c r="P29" i="18"/>
  <c r="O29" i="18"/>
  <c r="R25" i="18"/>
  <c r="R26" i="18" s="1"/>
  <c r="R26" i="5" s="1"/>
  <c r="Q25" i="18"/>
  <c r="Q26" i="18" s="1"/>
  <c r="Q26" i="5" s="1"/>
  <c r="P25" i="18"/>
  <c r="O25" i="18"/>
  <c r="O26" i="18" s="1"/>
  <c r="O26" i="5" s="1"/>
  <c r="N25" i="18"/>
  <c r="N26" i="18" s="1"/>
  <c r="N26" i="5" s="1"/>
  <c r="R24" i="18"/>
  <c r="Q24" i="18"/>
  <c r="P24" i="18"/>
  <c r="O24" i="18"/>
  <c r="N24" i="18"/>
  <c r="R21" i="18"/>
  <c r="Q21" i="18"/>
  <c r="P21" i="18"/>
  <c r="O21" i="18"/>
  <c r="N21" i="18"/>
  <c r="R20" i="18"/>
  <c r="Q20" i="18"/>
  <c r="P20" i="18"/>
  <c r="O20" i="18"/>
  <c r="N20" i="18"/>
  <c r="O29" i="5" l="1"/>
  <c r="O24" i="5"/>
  <c r="N8" i="5"/>
  <c r="P20" i="5"/>
  <c r="O21" i="5"/>
  <c r="R22" i="19"/>
  <c r="R28" i="19" s="1"/>
  <c r="N22" i="19"/>
  <c r="N28" i="19" s="1"/>
  <c r="R8" i="5"/>
  <c r="N34" i="5"/>
  <c r="R38" i="5"/>
  <c r="N43" i="5"/>
  <c r="R43" i="5"/>
  <c r="P46" i="5"/>
  <c r="O47" i="5"/>
  <c r="N38" i="5"/>
  <c r="O34" i="5"/>
  <c r="Q22" i="19"/>
  <c r="Q28" i="19" s="1"/>
  <c r="P49" i="19"/>
  <c r="N24" i="5"/>
  <c r="R24" i="5"/>
  <c r="O22" i="19"/>
  <c r="O28" i="19" s="1"/>
  <c r="P21" i="5"/>
  <c r="Q43" i="5"/>
  <c r="O46" i="5"/>
  <c r="N47" i="5"/>
  <c r="R47" i="5"/>
  <c r="R17" i="5"/>
  <c r="O13" i="5"/>
  <c r="P22" i="19"/>
  <c r="P28" i="19" s="1"/>
  <c r="O35" i="5"/>
  <c r="N15" i="5"/>
  <c r="P43" i="5"/>
  <c r="N46" i="5"/>
  <c r="R46" i="5"/>
  <c r="Q47" i="5"/>
  <c r="N35" i="5"/>
  <c r="P24" i="5"/>
  <c r="O11" i="5"/>
  <c r="Q46" i="5"/>
  <c r="P47" i="5"/>
  <c r="O49" i="19"/>
  <c r="Q42" i="19"/>
  <c r="O8" i="5"/>
  <c r="Q49" i="19"/>
  <c r="R49" i="19"/>
  <c r="N49" i="19"/>
  <c r="P42" i="19"/>
  <c r="O20" i="5"/>
  <c r="N21" i="5"/>
  <c r="R21" i="5"/>
  <c r="O43" i="5"/>
  <c r="Q17" i="5"/>
  <c r="R13" i="5"/>
  <c r="N13" i="5"/>
  <c r="O42" i="19"/>
  <c r="R18" i="19"/>
  <c r="N11" i="5"/>
  <c r="Q15" i="5"/>
  <c r="O15" i="5"/>
  <c r="P35" i="5"/>
  <c r="AU49" i="18"/>
  <c r="AU49" i="5" s="1"/>
  <c r="AQ18" i="19"/>
  <c r="AS18" i="18"/>
  <c r="AS49" i="18"/>
  <c r="AS49" i="5" s="1"/>
  <c r="AQ18" i="18"/>
  <c r="AU18" i="19"/>
  <c r="AQ49" i="18"/>
  <c r="AQ49" i="5" s="1"/>
  <c r="AR18" i="18"/>
  <c r="AR18" i="19"/>
  <c r="N17" i="5"/>
  <c r="O37" i="19"/>
  <c r="N37" i="19"/>
  <c r="O18" i="19"/>
  <c r="R29" i="5"/>
  <c r="O17" i="5"/>
  <c r="R11" i="5"/>
  <c r="N25" i="5"/>
  <c r="N18" i="18"/>
  <c r="P11" i="5"/>
  <c r="P8" i="5"/>
  <c r="Q21" i="5"/>
  <c r="R35" i="5"/>
  <c r="R15" i="5"/>
  <c r="N33" i="5"/>
  <c r="R25" i="5"/>
  <c r="Q11" i="5"/>
  <c r="AU18" i="18"/>
  <c r="AT49" i="18"/>
  <c r="AT49" i="5" s="1"/>
  <c r="AT18" i="19"/>
  <c r="AT18" i="18"/>
  <c r="AR49" i="18"/>
  <c r="AR49" i="5" s="1"/>
  <c r="AS18" i="19"/>
  <c r="P36" i="5"/>
  <c r="Q29" i="5"/>
  <c r="Q18" i="19"/>
  <c r="P32" i="18"/>
  <c r="P29" i="5"/>
  <c r="O25" i="5"/>
  <c r="Q20" i="5"/>
  <c r="N22" i="18"/>
  <c r="N20" i="5"/>
  <c r="R22" i="18"/>
  <c r="R20" i="5"/>
  <c r="P26" i="18"/>
  <c r="P26" i="5" s="1"/>
  <c r="P25" i="5"/>
  <c r="O33" i="5"/>
  <c r="O37" i="18"/>
  <c r="P18" i="19"/>
  <c r="Q8" i="5"/>
  <c r="P17" i="5"/>
  <c r="P13" i="5"/>
  <c r="O42" i="18"/>
  <c r="Q49" i="18"/>
  <c r="S38" i="5"/>
  <c r="Q25" i="5"/>
  <c r="Q24" i="5"/>
  <c r="O32" i="18"/>
  <c r="P42" i="18"/>
  <c r="N49" i="18"/>
  <c r="R49" i="18"/>
  <c r="R45" i="5"/>
  <c r="N45" i="5"/>
  <c r="P39" i="5"/>
  <c r="Q13" i="5"/>
  <c r="O18" i="18"/>
  <c r="N18" i="19"/>
  <c r="R18" i="18"/>
  <c r="Q35" i="5"/>
  <c r="P18" i="18"/>
  <c r="P15" i="5"/>
  <c r="O10" i="5"/>
  <c r="Q18" i="18"/>
  <c r="O22" i="18"/>
  <c r="P22" i="18"/>
  <c r="Q32" i="18"/>
  <c r="Q42" i="18"/>
  <c r="O49" i="18"/>
  <c r="Q22" i="18"/>
  <c r="R32" i="18"/>
  <c r="N37" i="18"/>
  <c r="N42" i="18"/>
  <c r="N42" i="5" s="1"/>
  <c r="R42" i="18"/>
  <c r="R42" i="5" s="1"/>
  <c r="P49" i="18"/>
  <c r="T28" i="17"/>
  <c r="S28" i="17"/>
  <c r="R28" i="17"/>
  <c r="Q28" i="17"/>
  <c r="P28" i="17"/>
  <c r="O28" i="17"/>
  <c r="N28" i="17"/>
  <c r="R12" i="17"/>
  <c r="Q12" i="17"/>
  <c r="P12" i="17"/>
  <c r="O12" i="17"/>
  <c r="N12" i="17"/>
  <c r="AQ8" i="5"/>
  <c r="AR8" i="5"/>
  <c r="AS8" i="5"/>
  <c r="AT8" i="5"/>
  <c r="AU8" i="5"/>
  <c r="AQ9" i="5"/>
  <c r="AR9" i="5"/>
  <c r="AS9" i="5"/>
  <c r="AT9" i="5"/>
  <c r="AU9" i="5"/>
  <c r="AQ10" i="5"/>
  <c r="AR10" i="5"/>
  <c r="AS10" i="5"/>
  <c r="AT10" i="5"/>
  <c r="AU10" i="5"/>
  <c r="AQ21" i="5"/>
  <c r="AQ25" i="5"/>
  <c r="AR25" i="5"/>
  <c r="AS25" i="5"/>
  <c r="AU25" i="5"/>
  <c r="AU26" i="5"/>
  <c r="AQ27" i="5"/>
  <c r="AR27" i="5"/>
  <c r="AS27" i="5"/>
  <c r="AT27" i="5"/>
  <c r="AU27" i="5"/>
  <c r="AQ29" i="5"/>
  <c r="AR29" i="5"/>
  <c r="AQ31" i="5"/>
  <c r="AR31" i="5"/>
  <c r="AS31" i="5"/>
  <c r="AT31" i="5"/>
  <c r="AU31" i="5"/>
  <c r="AQ36" i="5"/>
  <c r="AR36" i="5"/>
  <c r="AS36" i="5"/>
  <c r="AT36" i="5"/>
  <c r="AU36" i="5"/>
  <c r="AQ46" i="5"/>
  <c r="AR46" i="5"/>
  <c r="AS46" i="5"/>
  <c r="AT46" i="5"/>
  <c r="AU46" i="5"/>
  <c r="AQ48" i="5"/>
  <c r="AR48" i="5"/>
  <c r="AS48" i="5"/>
  <c r="AT48" i="5"/>
  <c r="AU48" i="5"/>
  <c r="X569" i="4"/>
  <c r="X567" i="4"/>
  <c r="X565" i="4"/>
  <c r="U520" i="4"/>
  <c r="U528" i="4" s="1"/>
  <c r="V520" i="4"/>
  <c r="V524" i="4" s="1"/>
  <c r="X520" i="4"/>
  <c r="Y520" i="4"/>
  <c r="Y524" i="4" s="1"/>
  <c r="U526" i="4"/>
  <c r="V526" i="4"/>
  <c r="V528" i="4"/>
  <c r="U2110" i="16"/>
  <c r="U2178" i="16" s="1"/>
  <c r="V2110" i="16"/>
  <c r="V2178" i="16" s="1"/>
  <c r="W2110" i="16"/>
  <c r="W2178" i="16" s="1"/>
  <c r="X2110" i="16"/>
  <c r="Y2110" i="16"/>
  <c r="Y2178" i="16" s="1"/>
  <c r="R2108" i="16"/>
  <c r="Q2108" i="16"/>
  <c r="P2108" i="16"/>
  <c r="O2108" i="16"/>
  <c r="N2108" i="16"/>
  <c r="M2108" i="16"/>
  <c r="L2108" i="16"/>
  <c r="K2108" i="16"/>
  <c r="J2108" i="16"/>
  <c r="Z2106" i="16"/>
  <c r="Z2108" i="16" s="1"/>
  <c r="T2108" i="16"/>
  <c r="S2106" i="16"/>
  <c r="S2108" i="16" s="1"/>
  <c r="R2102" i="16"/>
  <c r="Q2102" i="16"/>
  <c r="P2102" i="16"/>
  <c r="O2102" i="16"/>
  <c r="N2102" i="16"/>
  <c r="M2102" i="16"/>
  <c r="L2102" i="16"/>
  <c r="K2102" i="16"/>
  <c r="J2102" i="16"/>
  <c r="W1530" i="16"/>
  <c r="Y1530" i="16"/>
  <c r="U524" i="4" l="1"/>
  <c r="N22" i="5"/>
  <c r="R44" i="19"/>
  <c r="R50" i="19" s="1"/>
  <c r="R22" i="5"/>
  <c r="N37" i="5"/>
  <c r="O42" i="5"/>
  <c r="Q22" i="5"/>
  <c r="AT18" i="5"/>
  <c r="P49" i="5"/>
  <c r="P22" i="5"/>
  <c r="AQ18" i="5"/>
  <c r="R28" i="18"/>
  <c r="R28" i="5" s="1"/>
  <c r="R49" i="5"/>
  <c r="O49" i="5"/>
  <c r="P42" i="5"/>
  <c r="O37" i="5"/>
  <c r="Y528" i="4"/>
  <c r="Q49" i="5"/>
  <c r="Q42" i="5"/>
  <c r="N49" i="5"/>
  <c r="P44" i="19"/>
  <c r="P50" i="19" s="1"/>
  <c r="O44" i="19"/>
  <c r="O50" i="19" s="1"/>
  <c r="N28" i="18"/>
  <c r="N28" i="5" s="1"/>
  <c r="Q28" i="18"/>
  <c r="Q28" i="5" s="1"/>
  <c r="AU18" i="5"/>
  <c r="X528" i="4"/>
  <c r="X524" i="4"/>
  <c r="X571" i="4"/>
  <c r="N44" i="19"/>
  <c r="N50" i="19" s="1"/>
  <c r="O18" i="17"/>
  <c r="O12" i="5"/>
  <c r="P18" i="17"/>
  <c r="P12" i="5"/>
  <c r="Q18" i="17"/>
  <c r="Q12" i="5"/>
  <c r="P28" i="18"/>
  <c r="O28" i="18"/>
  <c r="O22" i="5"/>
  <c r="N18" i="17"/>
  <c r="N12" i="5"/>
  <c r="R18" i="17"/>
  <c r="R12" i="5"/>
  <c r="Q44" i="19"/>
  <c r="Q50" i="19" s="1"/>
  <c r="AS18" i="5"/>
  <c r="AR18" i="5"/>
  <c r="AA2106" i="16"/>
  <c r="AH2106" i="16" s="1"/>
  <c r="AJ2106" i="16" s="1"/>
  <c r="Z505" i="4"/>
  <c r="W508" i="4"/>
  <c r="W520" i="4" s="1"/>
  <c r="W487" i="4"/>
  <c r="Z485" i="4"/>
  <c r="AA485" i="4" s="1"/>
  <c r="AH485" i="4" s="1"/>
  <c r="X459" i="4"/>
  <c r="Q34" i="18" s="1"/>
  <c r="Y459" i="4"/>
  <c r="R34" i="18" s="1"/>
  <c r="Z454" i="4"/>
  <c r="Z455" i="4"/>
  <c r="AA455" i="4" s="1"/>
  <c r="AH455" i="4" s="1"/>
  <c r="Z456" i="4"/>
  <c r="AA456" i="4" s="1"/>
  <c r="AH456" i="4" s="1"/>
  <c r="W459" i="4"/>
  <c r="P34" i="18" s="1"/>
  <c r="W440" i="4"/>
  <c r="Z438" i="4"/>
  <c r="AA438" i="4" s="1"/>
  <c r="AH438" i="4" s="1"/>
  <c r="V402" i="4"/>
  <c r="W402" i="4"/>
  <c r="X402" i="4"/>
  <c r="Y402" i="4"/>
  <c r="V408" i="4"/>
  <c r="V404" i="4" s="1"/>
  <c r="W408" i="4"/>
  <c r="W404" i="4" s="1"/>
  <c r="X408" i="4"/>
  <c r="X404" i="4" s="1"/>
  <c r="Y408" i="4"/>
  <c r="U402" i="4"/>
  <c r="U400" i="4"/>
  <c r="N31" i="18" s="1"/>
  <c r="N31" i="5" s="1"/>
  <c r="R400" i="4"/>
  <c r="K31" i="18" s="1"/>
  <c r="Q400" i="4"/>
  <c r="J31" i="18" s="1"/>
  <c r="P400" i="4"/>
  <c r="I31" i="18" s="1"/>
  <c r="O400" i="4"/>
  <c r="H31" i="18" s="1"/>
  <c r="N400" i="4"/>
  <c r="G31" i="18" s="1"/>
  <c r="M400" i="4"/>
  <c r="F31" i="18" s="1"/>
  <c r="J400" i="4"/>
  <c r="Z395" i="4"/>
  <c r="S395" i="4"/>
  <c r="S400" i="4" s="1"/>
  <c r="L31" i="18" s="1"/>
  <c r="Z387" i="4"/>
  <c r="AA387" i="4" s="1"/>
  <c r="U392" i="4"/>
  <c r="N30" i="18" s="1"/>
  <c r="N30" i="5" s="1"/>
  <c r="U324" i="4"/>
  <c r="U378" i="4"/>
  <c r="U380" i="4" s="1"/>
  <c r="U353" i="4"/>
  <c r="U348" i="4"/>
  <c r="U343" i="4"/>
  <c r="Z341" i="4"/>
  <c r="AA341" i="4" s="1"/>
  <c r="AH341" i="4" s="1"/>
  <c r="U330" i="4"/>
  <c r="Z322" i="4"/>
  <c r="AA322" i="4" s="1"/>
  <c r="AH322" i="4" s="1"/>
  <c r="X2247" i="16"/>
  <c r="U2236" i="16"/>
  <c r="U2238" i="16"/>
  <c r="V2236" i="16"/>
  <c r="W2236" i="16"/>
  <c r="X2236" i="16"/>
  <c r="Y2236" i="16"/>
  <c r="V2238" i="16"/>
  <c r="W2238" i="16"/>
  <c r="W2234" i="16" s="1"/>
  <c r="X2238" i="16"/>
  <c r="Y2238" i="16"/>
  <c r="X2148" i="16"/>
  <c r="X2178" i="16" s="1"/>
  <c r="R2148" i="16"/>
  <c r="Q2148" i="16"/>
  <c r="P2148" i="16"/>
  <c r="O2148" i="16"/>
  <c r="N2148" i="16"/>
  <c r="M2148" i="16"/>
  <c r="L2148" i="16"/>
  <c r="K2148" i="16"/>
  <c r="Z2146" i="16"/>
  <c r="Z2148" i="16" s="1"/>
  <c r="S2146" i="16"/>
  <c r="U2036" i="16"/>
  <c r="V2036" i="16"/>
  <c r="AR26" i="19" s="1"/>
  <c r="U2038" i="16"/>
  <c r="V2038" i="16"/>
  <c r="V1405" i="16"/>
  <c r="AR21" i="19" s="1"/>
  <c r="W1405" i="16"/>
  <c r="AS21" i="19" s="1"/>
  <c r="U1550" i="16"/>
  <c r="U1546" i="16" s="1"/>
  <c r="AQ23" i="18" s="1"/>
  <c r="AQ23" i="5" s="1"/>
  <c r="W1550" i="16"/>
  <c r="W1546" i="16" s="1"/>
  <c r="AS23" i="18" s="1"/>
  <c r="AS23" i="5" s="1"/>
  <c r="Y1550" i="16"/>
  <c r="Y2038" i="16"/>
  <c r="W1973" i="16"/>
  <c r="W2038" i="16" s="1"/>
  <c r="R1973" i="16"/>
  <c r="Q1973" i="16"/>
  <c r="P1973" i="16"/>
  <c r="O1973" i="16"/>
  <c r="N1973" i="16"/>
  <c r="M1973" i="16"/>
  <c r="L1973" i="16"/>
  <c r="Z1971" i="16"/>
  <c r="Z1973" i="16" s="1"/>
  <c r="S1971" i="16"/>
  <c r="W2036" i="16"/>
  <c r="X2036" i="16"/>
  <c r="AT26" i="19" s="1"/>
  <c r="X1967" i="16"/>
  <c r="X1936" i="16"/>
  <c r="X1912" i="16"/>
  <c r="X1892" i="16"/>
  <c r="Z1889" i="16"/>
  <c r="AA1889" i="16" s="1"/>
  <c r="Z1888" i="16"/>
  <c r="AA1888" i="16" s="1"/>
  <c r="AH1888" i="16" s="1"/>
  <c r="X1884" i="16"/>
  <c r="X1831" i="16"/>
  <c r="X1802" i="16"/>
  <c r="X1752" i="16"/>
  <c r="AT25" i="19" s="1"/>
  <c r="X1728" i="16"/>
  <c r="X1718" i="16"/>
  <c r="X1686" i="16"/>
  <c r="X1678" i="16"/>
  <c r="V1371" i="16"/>
  <c r="V1407" i="16" s="1"/>
  <c r="X1630" i="16"/>
  <c r="X1606" i="16"/>
  <c r="X1512" i="16"/>
  <c r="X1486" i="16"/>
  <c r="X1477" i="16"/>
  <c r="X1453" i="16"/>
  <c r="X1447" i="16"/>
  <c r="X1429" i="16"/>
  <c r="V1421" i="16"/>
  <c r="V1550" i="16" s="1"/>
  <c r="V1546" i="16" s="1"/>
  <c r="AR23" i="18" s="1"/>
  <c r="AR23" i="5" s="1"/>
  <c r="X1415" i="16"/>
  <c r="X1405" i="16"/>
  <c r="AT21" i="19" s="1"/>
  <c r="Y1407" i="16"/>
  <c r="Y1405" i="16"/>
  <c r="X1377" i="16"/>
  <c r="W1327" i="16"/>
  <c r="W1407" i="16" s="1"/>
  <c r="X1258" i="16"/>
  <c r="X1289" i="16" s="1"/>
  <c r="W1403" i="16" l="1"/>
  <c r="AS21" i="18" s="1"/>
  <c r="AS21" i="5" s="1"/>
  <c r="AJ1888" i="16"/>
  <c r="X1530" i="16"/>
  <c r="AH2108" i="16"/>
  <c r="Y404" i="4"/>
  <c r="W497" i="4"/>
  <c r="W524" i="4" s="1"/>
  <c r="AS34" i="18"/>
  <c r="X2249" i="16"/>
  <c r="Y2055" i="16"/>
  <c r="AU21" i="19"/>
  <c r="X2038" i="16"/>
  <c r="X2034" i="16" s="1"/>
  <c r="AT26" i="18" s="1"/>
  <c r="AT26" i="5" s="1"/>
  <c r="AR34" i="19"/>
  <c r="X1550" i="16"/>
  <c r="X1546" i="16" s="1"/>
  <c r="AT23" i="18" s="1"/>
  <c r="AT23" i="5" s="1"/>
  <c r="AS26" i="19"/>
  <c r="U2055" i="16"/>
  <c r="AQ26" i="19"/>
  <c r="AU34" i="19"/>
  <c r="AS34" i="19"/>
  <c r="AT34" i="19"/>
  <c r="AQ34" i="19"/>
  <c r="N32" i="17"/>
  <c r="N44" i="17" s="1"/>
  <c r="N50" i="17" s="1"/>
  <c r="O32" i="17"/>
  <c r="O32" i="5" s="1"/>
  <c r="R34" i="5"/>
  <c r="R37" i="18"/>
  <c r="R32" i="17"/>
  <c r="R32" i="5" s="1"/>
  <c r="Q34" i="5"/>
  <c r="Q37" i="18"/>
  <c r="W528" i="4"/>
  <c r="Q32" i="17"/>
  <c r="Q32" i="5" s="1"/>
  <c r="AA505" i="4"/>
  <c r="S39" i="19"/>
  <c r="S42" i="19" s="1"/>
  <c r="N29" i="18"/>
  <c r="P32" i="17"/>
  <c r="P32" i="5" s="1"/>
  <c r="P34" i="5"/>
  <c r="P37" i="18"/>
  <c r="P37" i="5" s="1"/>
  <c r="AA454" i="4"/>
  <c r="AH454" i="4" s="1"/>
  <c r="Z522" i="4"/>
  <c r="S34" i="17"/>
  <c r="Q18" i="5"/>
  <c r="R18" i="5"/>
  <c r="O44" i="18"/>
  <c r="O50" i="18" s="1"/>
  <c r="O28" i="5"/>
  <c r="N18" i="5"/>
  <c r="P28" i="5"/>
  <c r="P18" i="5"/>
  <c r="O18" i="5"/>
  <c r="X2234" i="16"/>
  <c r="AT34" i="18" s="1"/>
  <c r="Y2234" i="16"/>
  <c r="U2234" i="16"/>
  <c r="V2034" i="16"/>
  <c r="AR26" i="18" s="1"/>
  <c r="AR26" i="5" s="1"/>
  <c r="V2234" i="16"/>
  <c r="Y2176" i="16"/>
  <c r="X2176" i="16"/>
  <c r="AT29" i="19" s="1"/>
  <c r="W2176" i="16"/>
  <c r="AS29" i="19" s="1"/>
  <c r="AA2108" i="16"/>
  <c r="U355" i="4"/>
  <c r="U382" i="4" s="1"/>
  <c r="U408" i="4" s="1"/>
  <c r="U404" i="4" s="1"/>
  <c r="Z400" i="4"/>
  <c r="S31" i="18" s="1"/>
  <c r="S31" i="5" s="1"/>
  <c r="T400" i="4"/>
  <c r="M31" i="18" s="1"/>
  <c r="AA2146" i="16"/>
  <c r="T2148" i="16"/>
  <c r="S2148" i="16"/>
  <c r="U2034" i="16"/>
  <c r="V1403" i="16"/>
  <c r="Y1546" i="16"/>
  <c r="AU23" i="18" s="1"/>
  <c r="AU23" i="5" s="1"/>
  <c r="W2034" i="16"/>
  <c r="Y1403" i="16"/>
  <c r="AU21" i="18" s="1"/>
  <c r="X1742" i="16"/>
  <c r="X1754" i="16" s="1"/>
  <c r="T1973" i="16"/>
  <c r="AA1971" i="16"/>
  <c r="S1973" i="16"/>
  <c r="X1407" i="16"/>
  <c r="X1403" i="16" s="1"/>
  <c r="AT21" i="18" s="1"/>
  <c r="AT21" i="5" s="1"/>
  <c r="Y175" i="16"/>
  <c r="X175" i="16"/>
  <c r="W175" i="16"/>
  <c r="V175" i="16"/>
  <c r="U175" i="16"/>
  <c r="U2292" i="16" s="1"/>
  <c r="W173" i="16"/>
  <c r="Y171" i="16"/>
  <c r="Y2288" i="16" s="1"/>
  <c r="X171" i="16"/>
  <c r="X2288" i="16" s="1"/>
  <c r="W171" i="16"/>
  <c r="W2288" i="16" s="1"/>
  <c r="V171" i="16"/>
  <c r="V2288" i="16" s="1"/>
  <c r="U171" i="16"/>
  <c r="U2288" i="16" s="1"/>
  <c r="Y169" i="16"/>
  <c r="X169" i="16"/>
  <c r="W169" i="16"/>
  <c r="V169" i="16"/>
  <c r="U169" i="16"/>
  <c r="X150" i="16"/>
  <c r="Y150" i="16"/>
  <c r="V139" i="16"/>
  <c r="Y139" i="16"/>
  <c r="X139" i="16"/>
  <c r="V128" i="16"/>
  <c r="Y128" i="16"/>
  <c r="X128" i="16"/>
  <c r="Y110" i="16"/>
  <c r="X110" i="16"/>
  <c r="V99" i="16"/>
  <c r="Y99" i="16"/>
  <c r="X99" i="16"/>
  <c r="V88" i="16"/>
  <c r="U88" i="16"/>
  <c r="Y88" i="16"/>
  <c r="X88" i="16"/>
  <c r="V73" i="16"/>
  <c r="Y73" i="16"/>
  <c r="X73" i="16"/>
  <c r="V63" i="16"/>
  <c r="Y63" i="16"/>
  <c r="X63" i="16"/>
  <c r="Z61" i="16"/>
  <c r="AA61" i="16" s="1"/>
  <c r="AH61" i="16" s="1"/>
  <c r="V52" i="16"/>
  <c r="Y52" i="16"/>
  <c r="X52" i="16"/>
  <c r="Y42" i="16"/>
  <c r="X42" i="16"/>
  <c r="Y29" i="16"/>
  <c r="X29" i="16"/>
  <c r="U18" i="16"/>
  <c r="U173" i="16" s="1"/>
  <c r="Y18" i="16"/>
  <c r="X18" i="16"/>
  <c r="U135" i="4"/>
  <c r="U577" i="4" s="1"/>
  <c r="V135" i="4"/>
  <c r="V577" i="4" s="1"/>
  <c r="W135" i="4"/>
  <c r="W577" i="4" s="1"/>
  <c r="X135" i="4"/>
  <c r="X577" i="4" s="1"/>
  <c r="U131" i="4"/>
  <c r="U573" i="4" s="1"/>
  <c r="V131" i="4"/>
  <c r="V573" i="4" s="1"/>
  <c r="U133" i="4"/>
  <c r="W131" i="4"/>
  <c r="W573" i="4" s="1"/>
  <c r="X131" i="4"/>
  <c r="X573" i="4" s="1"/>
  <c r="Y131" i="4"/>
  <c r="Y573" i="4" s="1"/>
  <c r="W133" i="4"/>
  <c r="X133" i="4"/>
  <c r="X575" i="4" s="1"/>
  <c r="V65" i="4"/>
  <c r="Y75" i="4"/>
  <c r="Y118" i="4"/>
  <c r="V109" i="4"/>
  <c r="Y109" i="4"/>
  <c r="Z102" i="4"/>
  <c r="V98" i="4"/>
  <c r="Y98" i="4"/>
  <c r="Y84" i="4"/>
  <c r="Z59" i="4"/>
  <c r="Y65" i="4"/>
  <c r="V55" i="4"/>
  <c r="Y55" i="4"/>
  <c r="V48" i="4"/>
  <c r="Y48" i="4"/>
  <c r="V41" i="4"/>
  <c r="Y41" i="4"/>
  <c r="Y33" i="4"/>
  <c r="Y24" i="4"/>
  <c r="Y15" i="4"/>
  <c r="AA2148" i="16" l="1"/>
  <c r="AH2146" i="16"/>
  <c r="AA1973" i="16"/>
  <c r="AH1971" i="16"/>
  <c r="AH1973" i="16" s="1"/>
  <c r="AJ1973" i="16" s="1"/>
  <c r="Y2292" i="16"/>
  <c r="T39" i="19"/>
  <c r="T42" i="19" s="1"/>
  <c r="AH505" i="4"/>
  <c r="Q44" i="17"/>
  <c r="Q50" i="17" s="1"/>
  <c r="U575" i="4"/>
  <c r="P44" i="18"/>
  <c r="P50" i="18" s="1"/>
  <c r="Y133" i="4"/>
  <c r="Y575" i="4" s="1"/>
  <c r="AU21" i="5"/>
  <c r="R44" i="17"/>
  <c r="R50" i="17" s="1"/>
  <c r="O44" i="17"/>
  <c r="O44" i="5" s="1"/>
  <c r="AS26" i="18"/>
  <c r="AS26" i="5" s="1"/>
  <c r="AQ34" i="18"/>
  <c r="AQ34" i="5" s="1"/>
  <c r="AR21" i="18"/>
  <c r="AR21" i="5" s="1"/>
  <c r="AU34" i="18"/>
  <c r="AU34" i="5" s="1"/>
  <c r="AQ44" i="19"/>
  <c r="AQ50" i="19" s="1"/>
  <c r="AS34" i="5"/>
  <c r="AQ26" i="18"/>
  <c r="AQ26" i="5" s="1"/>
  <c r="AR34" i="18"/>
  <c r="AR34" i="5" s="1"/>
  <c r="AT34" i="5"/>
  <c r="AA522" i="4"/>
  <c r="T34" i="17"/>
  <c r="Q37" i="5"/>
  <c r="Q44" i="18"/>
  <c r="Q50" i="18" s="1"/>
  <c r="AA59" i="4"/>
  <c r="S15" i="19"/>
  <c r="N29" i="5"/>
  <c r="N32" i="18"/>
  <c r="S37" i="17"/>
  <c r="P44" i="17"/>
  <c r="P50" i="17" s="1"/>
  <c r="W575" i="4"/>
  <c r="R37" i="5"/>
  <c r="R44" i="18"/>
  <c r="AT29" i="5"/>
  <c r="AU29" i="19"/>
  <c r="AS29" i="5"/>
  <c r="V133" i="4"/>
  <c r="V575" i="4" s="1"/>
  <c r="X137" i="4"/>
  <c r="X579" i="4" s="1"/>
  <c r="W137" i="4"/>
  <c r="W579" i="4" s="1"/>
  <c r="AA395" i="4"/>
  <c r="X1750" i="16"/>
  <c r="AT25" i="18" s="1"/>
  <c r="AT25" i="5" s="1"/>
  <c r="V173" i="16"/>
  <c r="V177" i="16" s="1"/>
  <c r="Y173" i="16"/>
  <c r="Y177" i="16" s="1"/>
  <c r="X173" i="16"/>
  <c r="X177" i="16" s="1"/>
  <c r="U177" i="16"/>
  <c r="W177" i="16"/>
  <c r="U137" i="4"/>
  <c r="U579" i="4" s="1"/>
  <c r="Z561" i="16"/>
  <c r="AA561" i="16" s="1"/>
  <c r="AH561" i="16" s="1"/>
  <c r="Z562" i="16"/>
  <c r="AA562" i="16" s="1"/>
  <c r="AH562" i="16" s="1"/>
  <c r="AJ562" i="16" s="1"/>
  <c r="X970" i="16"/>
  <c r="X921" i="16"/>
  <c r="Y816" i="16"/>
  <c r="W816" i="16"/>
  <c r="V816" i="16"/>
  <c r="U816" i="16"/>
  <c r="U1242" i="16" s="1"/>
  <c r="X778" i="16"/>
  <c r="T778" i="16"/>
  <c r="R778" i="16"/>
  <c r="Q778" i="16"/>
  <c r="P778" i="16"/>
  <c r="O778" i="16"/>
  <c r="N778" i="16"/>
  <c r="M778" i="16"/>
  <c r="Z776" i="16"/>
  <c r="Z778" i="16" s="1"/>
  <c r="S776" i="16"/>
  <c r="S778" i="16" s="1"/>
  <c r="X772" i="16"/>
  <c r="T772" i="16"/>
  <c r="R772" i="16"/>
  <c r="Q772" i="16"/>
  <c r="P772" i="16"/>
  <c r="O772" i="16"/>
  <c r="N772" i="16"/>
  <c r="M772" i="16"/>
  <c r="Z770" i="16"/>
  <c r="AA770" i="16" s="1"/>
  <c r="S770" i="16"/>
  <c r="S772" i="16" s="1"/>
  <c r="X766" i="16"/>
  <c r="R766" i="16"/>
  <c r="Q766" i="16"/>
  <c r="P766" i="16"/>
  <c r="O766" i="16"/>
  <c r="N766" i="16"/>
  <c r="M766" i="16"/>
  <c r="Z764" i="16"/>
  <c r="Z766" i="16" s="1"/>
  <c r="S764" i="16"/>
  <c r="S766" i="16" s="1"/>
  <c r="X1224" i="16"/>
  <c r="V1224" i="16"/>
  <c r="T1224" i="16"/>
  <c r="R1224" i="16"/>
  <c r="Q1224" i="16"/>
  <c r="P1224" i="16"/>
  <c r="O1224" i="16"/>
  <c r="N1224" i="16"/>
  <c r="M1224" i="16"/>
  <c r="J1224" i="16"/>
  <c r="Z1222" i="16"/>
  <c r="Z1224" i="16" s="1"/>
  <c r="S1222" i="16"/>
  <c r="S1224" i="16" s="1"/>
  <c r="V1218" i="16"/>
  <c r="X1218" i="16"/>
  <c r="R1218" i="16"/>
  <c r="Q1218" i="16"/>
  <c r="P1218" i="16"/>
  <c r="O1218" i="16"/>
  <c r="N1218" i="16"/>
  <c r="M1218" i="16"/>
  <c r="J1218" i="16"/>
  <c r="Z1216" i="16"/>
  <c r="Z1218" i="16" s="1"/>
  <c r="S1216" i="16"/>
  <c r="S1218" i="16" s="1"/>
  <c r="W1212" i="16"/>
  <c r="T1212" i="16"/>
  <c r="R1212" i="16"/>
  <c r="Q1212" i="16"/>
  <c r="P1212" i="16"/>
  <c r="J1212" i="16"/>
  <c r="Z1210" i="16"/>
  <c r="AA1210" i="16" s="1"/>
  <c r="AH1210" i="16" s="1"/>
  <c r="AJ1210" i="16" s="1"/>
  <c r="S1210" i="16"/>
  <c r="Z1209" i="16"/>
  <c r="S1209" i="16"/>
  <c r="W1205" i="16"/>
  <c r="R1205" i="16"/>
  <c r="Q1205" i="16"/>
  <c r="P1205" i="16"/>
  <c r="J1205" i="16"/>
  <c r="Z1203" i="16"/>
  <c r="S1203" i="16"/>
  <c r="Z1202" i="16"/>
  <c r="S1202" i="16"/>
  <c r="Z1201" i="16"/>
  <c r="S1201" i="16"/>
  <c r="X1197" i="16"/>
  <c r="V1183" i="16"/>
  <c r="V1177" i="16"/>
  <c r="X1147" i="16"/>
  <c r="X1127" i="16"/>
  <c r="V1127" i="16"/>
  <c r="X1121" i="16"/>
  <c r="X1109" i="16"/>
  <c r="X1057" i="16"/>
  <c r="X905" i="16"/>
  <c r="W849" i="16"/>
  <c r="W823" i="16"/>
  <c r="X760" i="16"/>
  <c r="X730" i="16"/>
  <c r="X711" i="16"/>
  <c r="X691" i="16"/>
  <c r="X631" i="16"/>
  <c r="X622" i="16"/>
  <c r="X600" i="16"/>
  <c r="X592" i="16"/>
  <c r="Z582" i="16"/>
  <c r="AA582" i="16" s="1"/>
  <c r="AH582" i="16" s="1"/>
  <c r="AJ582" i="16" s="1"/>
  <c r="V566" i="16"/>
  <c r="V568" i="16" s="1"/>
  <c r="X566" i="16"/>
  <c r="X568" i="16" s="1"/>
  <c r="V536" i="16"/>
  <c r="X536" i="16"/>
  <c r="X556" i="16" s="1"/>
  <c r="Y449" i="16"/>
  <c r="Y451" i="16" s="1"/>
  <c r="X449" i="16"/>
  <c r="X451" i="16" s="1"/>
  <c r="Z446" i="16"/>
  <c r="AA446" i="16" s="1"/>
  <c r="AH446" i="16" s="1"/>
  <c r="AJ446" i="16" s="1"/>
  <c r="Z445" i="16"/>
  <c r="AA445" i="16" s="1"/>
  <c r="AH445" i="16" s="1"/>
  <c r="AJ445" i="16" s="1"/>
  <c r="Z444" i="16"/>
  <c r="AA444" i="16" s="1"/>
  <c r="AH444" i="16" s="1"/>
  <c r="X425" i="16"/>
  <c r="X439" i="16" s="1"/>
  <c r="W425" i="16"/>
  <c r="W439" i="16" s="1"/>
  <c r="X306" i="16"/>
  <c r="X300" i="16"/>
  <c r="AH2148" i="16" l="1"/>
  <c r="AJ2148" i="16" s="1"/>
  <c r="AJ2146" i="16"/>
  <c r="AA772" i="16"/>
  <c r="AH770" i="16"/>
  <c r="AJ561" i="16"/>
  <c r="AJ444" i="16"/>
  <c r="T31" i="18"/>
  <c r="T31" i="5" s="1"/>
  <c r="AH395" i="4"/>
  <c r="AA31" i="5" s="1"/>
  <c r="T15" i="19"/>
  <c r="AH59" i="4"/>
  <c r="Q50" i="5"/>
  <c r="O50" i="17"/>
  <c r="O50" i="5" s="1"/>
  <c r="Y137" i="4"/>
  <c r="Y579" i="4" s="1"/>
  <c r="Q44" i="5"/>
  <c r="P50" i="5"/>
  <c r="U2057" i="16"/>
  <c r="U2294" i="16" s="1"/>
  <c r="U1238" i="16"/>
  <c r="X1240" i="16"/>
  <c r="AT20" i="19" s="1"/>
  <c r="AT44" i="19" s="1"/>
  <c r="AT50" i="19" s="1"/>
  <c r="W863" i="16"/>
  <c r="W1242" i="16" s="1"/>
  <c r="W1240" i="16"/>
  <c r="V556" i="16"/>
  <c r="V1240" i="16"/>
  <c r="R44" i="5"/>
  <c r="R50" i="18"/>
  <c r="R50" i="5" s="1"/>
  <c r="T37" i="17"/>
  <c r="V137" i="4"/>
  <c r="V579" i="4" s="1"/>
  <c r="P44" i="5"/>
  <c r="N32" i="5"/>
  <c r="N44" i="18"/>
  <c r="AU44" i="19"/>
  <c r="AU29" i="5"/>
  <c r="X353" i="16"/>
  <c r="X406" i="16" s="1"/>
  <c r="Y1242" i="16"/>
  <c r="X816" i="16"/>
  <c r="V1185" i="16"/>
  <c r="AA776" i="16"/>
  <c r="AH776" i="16" s="1"/>
  <c r="Z772" i="16"/>
  <c r="T766" i="16"/>
  <c r="AA764" i="16"/>
  <c r="AH764" i="16" s="1"/>
  <c r="X633" i="16"/>
  <c r="AA1222" i="16"/>
  <c r="AA1216" i="16"/>
  <c r="T1218" i="16"/>
  <c r="S1205" i="16"/>
  <c r="S1212" i="16"/>
  <c r="Z1212" i="16"/>
  <c r="AA1209" i="16"/>
  <c r="AH1209" i="16" s="1"/>
  <c r="AA1202" i="16"/>
  <c r="AH1202" i="16" s="1"/>
  <c r="AJ1202" i="16" s="1"/>
  <c r="AA1203" i="16"/>
  <c r="AH1203" i="16" s="1"/>
  <c r="AJ1203" i="16" s="1"/>
  <c r="T1205" i="16"/>
  <c r="Z1205" i="16"/>
  <c r="Z2280" i="16"/>
  <c r="Z2274" i="16"/>
  <c r="Z2276" i="16" s="1"/>
  <c r="Z2268" i="16"/>
  <c r="AA2264" i="16"/>
  <c r="Z2264" i="16"/>
  <c r="Z2256" i="16"/>
  <c r="Z2258" i="16" s="1"/>
  <c r="Z2244" i="16"/>
  <c r="Z2243" i="16"/>
  <c r="Z2242" i="16"/>
  <c r="AV46" i="18" s="1"/>
  <c r="AV46" i="5" s="1"/>
  <c r="Z2232" i="16"/>
  <c r="Z2231" i="16"/>
  <c r="Z2230" i="16"/>
  <c r="Z2229" i="16"/>
  <c r="Z2228" i="16"/>
  <c r="Z2226" i="16"/>
  <c r="Z2225" i="16"/>
  <c r="Z2224" i="16"/>
  <c r="Z2223" i="16"/>
  <c r="Z2222" i="16"/>
  <c r="Z2221" i="16"/>
  <c r="Z2220" i="16"/>
  <c r="Z2219" i="16"/>
  <c r="Z2218" i="16"/>
  <c r="Z2217" i="16"/>
  <c r="Z2216" i="16"/>
  <c r="Z2215" i="16"/>
  <c r="Z2214" i="16"/>
  <c r="Z2213" i="16"/>
  <c r="Z2212" i="16"/>
  <c r="Z2211" i="16"/>
  <c r="Z2197" i="16"/>
  <c r="Z2191" i="16"/>
  <c r="Z2193" i="16" s="1"/>
  <c r="Z2185" i="16"/>
  <c r="AV31" i="18" s="1"/>
  <c r="Z2140" i="16"/>
  <c r="Z2133" i="16"/>
  <c r="Z2127" i="16"/>
  <c r="Z2121" i="16"/>
  <c r="Z2174" i="16" s="1"/>
  <c r="AV29" i="18" s="1"/>
  <c r="Z2114" i="16"/>
  <c r="Z2100" i="16"/>
  <c r="Z2093" i="16"/>
  <c r="Z2095" i="16" s="1"/>
  <c r="Z2087" i="16"/>
  <c r="Z2081" i="16"/>
  <c r="Z2075" i="16"/>
  <c r="Z2069" i="16"/>
  <c r="Z2071" i="16" s="1"/>
  <c r="Z2063" i="16"/>
  <c r="Z2043" i="16"/>
  <c r="Z1965" i="16"/>
  <c r="Z1959" i="16"/>
  <c r="Z1958" i="16"/>
  <c r="Z1952" i="16"/>
  <c r="Z1946" i="16"/>
  <c r="Z1940" i="16"/>
  <c r="Z1942" i="16" s="1"/>
  <c r="Z1934" i="16"/>
  <c r="Z1928" i="16"/>
  <c r="Z1922" i="16"/>
  <c r="Z1916" i="16"/>
  <c r="Z1918" i="16" s="1"/>
  <c r="Z1910" i="16"/>
  <c r="Z1904" i="16"/>
  <c r="Z1902" i="16"/>
  <c r="Z1896" i="16"/>
  <c r="Z1890" i="16"/>
  <c r="Z1892" i="16" s="1"/>
  <c r="Z1882" i="16"/>
  <c r="Z1884" i="16" s="1"/>
  <c r="Z1876" i="16"/>
  <c r="Z1874" i="16"/>
  <c r="Z1873" i="16"/>
  <c r="Z1872" i="16"/>
  <c r="Z1865" i="16"/>
  <c r="Z1863" i="16"/>
  <c r="Z1862" i="16"/>
  <c r="Z1861" i="16"/>
  <c r="Z1855" i="16"/>
  <c r="Z1849" i="16"/>
  <c r="Z1847" i="16"/>
  <c r="Z1841" i="16"/>
  <c r="Z1835" i="16"/>
  <c r="Z1829" i="16"/>
  <c r="Z1831" i="16" s="1"/>
  <c r="Z1823" i="16"/>
  <c r="Z1821" i="16"/>
  <c r="Z1815" i="16"/>
  <c r="Z1809" i="16"/>
  <c r="Z1807" i="16"/>
  <c r="Z1806" i="16"/>
  <c r="Z1800" i="16"/>
  <c r="Z1798" i="16"/>
  <c r="Z1792" i="16"/>
  <c r="Z1786" i="16"/>
  <c r="Z1788" i="16" s="1"/>
  <c r="Z1778" i="16"/>
  <c r="Z1780" i="16" s="1"/>
  <c r="Z1772" i="16"/>
  <c r="Z1774" i="16" s="1"/>
  <c r="Z1765" i="16"/>
  <c r="Z1767" i="16" s="1"/>
  <c r="Z1759" i="16"/>
  <c r="Z1758" i="16"/>
  <c r="Z1746" i="16"/>
  <c r="Z1748" i="16" s="1"/>
  <c r="Z1732" i="16"/>
  <c r="Z1734" i="16" s="1"/>
  <c r="Z1752" i="16" s="1"/>
  <c r="AV25" i="19" s="1"/>
  <c r="Z1726" i="16"/>
  <c r="Z1725" i="16"/>
  <c r="Z1723" i="16"/>
  <c r="Z1722" i="16"/>
  <c r="Z1716" i="16"/>
  <c r="Z1714" i="16"/>
  <c r="Z1708" i="16"/>
  <c r="Z1706" i="16"/>
  <c r="Z1700" i="16"/>
  <c r="Z1698" i="16"/>
  <c r="Z1692" i="16"/>
  <c r="Z1690" i="16"/>
  <c r="Z1684" i="16"/>
  <c r="Z1682" i="16"/>
  <c r="Z1676" i="16"/>
  <c r="Z1674" i="16"/>
  <c r="Z1668" i="16"/>
  <c r="Z1666" i="16"/>
  <c r="Z1660" i="16"/>
  <c r="Z1658" i="16"/>
  <c r="Z1652" i="16"/>
  <c r="Z1650" i="16"/>
  <c r="Z1644" i="16"/>
  <c r="Z1642" i="16"/>
  <c r="Z1636" i="16"/>
  <c r="Z1634" i="16"/>
  <c r="Z1628" i="16"/>
  <c r="Z1626" i="16"/>
  <c r="Z1620" i="16"/>
  <c r="Z1618" i="16"/>
  <c r="Z1612" i="16"/>
  <c r="Z1610" i="16"/>
  <c r="Z1604" i="16"/>
  <c r="Z1602" i="16"/>
  <c r="Z1593" i="16"/>
  <c r="Z1591" i="16"/>
  <c r="Z1583" i="16"/>
  <c r="Z1581" i="16"/>
  <c r="Z1575" i="16"/>
  <c r="Z1573" i="16"/>
  <c r="Z1567" i="16"/>
  <c r="Z1565" i="16"/>
  <c r="Z1559" i="16"/>
  <c r="Z1557" i="16"/>
  <c r="Z1556" i="16"/>
  <c r="Z1555" i="16"/>
  <c r="Z1542" i="16"/>
  <c r="Z1536" i="16"/>
  <c r="Z1534" i="16"/>
  <c r="Z1526" i="16"/>
  <c r="Z1524" i="16"/>
  <c r="Z1518" i="16"/>
  <c r="Z1516" i="16"/>
  <c r="Z1510" i="16"/>
  <c r="Z1508" i="16"/>
  <c r="Z1501" i="16"/>
  <c r="Z1498" i="16"/>
  <c r="Z1492" i="16"/>
  <c r="Z1490" i="16"/>
  <c r="Z1484" i="16"/>
  <c r="Z1482" i="16"/>
  <c r="Z1475" i="16"/>
  <c r="Z1477" i="16" s="1"/>
  <c r="Z1469" i="16"/>
  <c r="Z1463" i="16"/>
  <c r="Z1457" i="16"/>
  <c r="Z1459" i="16" s="1"/>
  <c r="Z1451" i="16"/>
  <c r="Z1453" i="16" s="1"/>
  <c r="Z1445" i="16"/>
  <c r="Z1439" i="16"/>
  <c r="Z1441" i="16" s="1"/>
  <c r="Z1433" i="16"/>
  <c r="Z1427" i="16"/>
  <c r="Z1425" i="16"/>
  <c r="Z1419" i="16"/>
  <c r="Z1421" i="16" s="1"/>
  <c r="Z1413" i="16"/>
  <c r="Z1411" i="16"/>
  <c r="Z1399" i="16"/>
  <c r="Z1393" i="16"/>
  <c r="Z1395" i="16" s="1"/>
  <c r="Z1387" i="16"/>
  <c r="Z1389" i="16" s="1"/>
  <c r="Z1381" i="16"/>
  <c r="Z1383" i="16" s="1"/>
  <c r="Z1375" i="16"/>
  <c r="Z1377" i="16" s="1"/>
  <c r="Z1369" i="16"/>
  <c r="Z1367" i="16"/>
  <c r="Z1361" i="16"/>
  <c r="Z1363" i="16" s="1"/>
  <c r="Z1355" i="16"/>
  <c r="Z1405" i="16" s="1"/>
  <c r="AV21" i="19" s="1"/>
  <c r="Z1349" i="16"/>
  <c r="Z1343" i="16"/>
  <c r="Z1345" i="16" s="1"/>
  <c r="Z1337" i="16"/>
  <c r="Z1339" i="16" s="1"/>
  <c r="Z1331" i="16"/>
  <c r="Z1333" i="16" s="1"/>
  <c r="Z1325" i="16"/>
  <c r="Z1324" i="16"/>
  <c r="Z1322" i="16"/>
  <c r="Z1321" i="16"/>
  <c r="Z1320" i="16"/>
  <c r="Z1314" i="16"/>
  <c r="Z1308" i="16"/>
  <c r="Z1302" i="16"/>
  <c r="Z1304" i="16" s="1"/>
  <c r="Z1295" i="16"/>
  <c r="Z1293" i="16"/>
  <c r="Z1285" i="16"/>
  <c r="Z1279" i="16"/>
  <c r="Z1281" i="16" s="1"/>
  <c r="Z1272" i="16"/>
  <c r="Z1274" i="16" s="1"/>
  <c r="Z1266" i="16"/>
  <c r="Z1265" i="16"/>
  <c r="Z1264" i="16"/>
  <c r="Z1262" i="16"/>
  <c r="Z1256" i="16"/>
  <c r="Z1255" i="16"/>
  <c r="Z1253" i="16"/>
  <c r="Z1246" i="16"/>
  <c r="Z1248" i="16" s="1"/>
  <c r="Z1195" i="16"/>
  <c r="Z1189" i="16"/>
  <c r="Z1181" i="16"/>
  <c r="Z1183" i="16" s="1"/>
  <c r="Z1175" i="16"/>
  <c r="Z1168" i="16"/>
  <c r="Z1167" i="16"/>
  <c r="Z1161" i="16"/>
  <c r="Z1163" i="16" s="1"/>
  <c r="Z1153" i="16"/>
  <c r="Z1152" i="16"/>
  <c r="Z1151" i="16"/>
  <c r="Z1145" i="16"/>
  <c r="Z1144" i="16"/>
  <c r="Z1143" i="16"/>
  <c r="Z1137" i="16"/>
  <c r="Z1131" i="16"/>
  <c r="Z1125" i="16"/>
  <c r="Z1119" i="16"/>
  <c r="Z1113" i="16"/>
  <c r="Z1107" i="16"/>
  <c r="Z1093" i="16"/>
  <c r="Z1092" i="16"/>
  <c r="Z1091" i="16"/>
  <c r="Z1085" i="16"/>
  <c r="Z1084" i="16"/>
  <c r="Z1083" i="16"/>
  <c r="Z1077" i="16"/>
  <c r="Z1076" i="16"/>
  <c r="Z1075" i="16"/>
  <c r="Z1069" i="16"/>
  <c r="Z1062" i="16"/>
  <c r="Z1061" i="16"/>
  <c r="Z1055" i="16"/>
  <c r="Z1049" i="16"/>
  <c r="Z1043" i="16"/>
  <c r="Z1035" i="16"/>
  <c r="Z1037" i="16" s="1"/>
  <c r="Z1029" i="16"/>
  <c r="Z1031" i="16" s="1"/>
  <c r="Z1023" i="16"/>
  <c r="Z1017" i="16"/>
  <c r="Z1019" i="16" s="1"/>
  <c r="Z1011" i="16"/>
  <c r="Z1013" i="16" s="1"/>
  <c r="Z1004" i="16"/>
  <c r="Z1006" i="16" s="1"/>
  <c r="Z998" i="16"/>
  <c r="Z992" i="16"/>
  <c r="Z994" i="16" s="1"/>
  <c r="Z986" i="16"/>
  <c r="Z988" i="16" s="1"/>
  <c r="Z980" i="16"/>
  <c r="Z982" i="16" s="1"/>
  <c r="Z974" i="16"/>
  <c r="Z968" i="16"/>
  <c r="Z967" i="16"/>
  <c r="Z961" i="16"/>
  <c r="Z955" i="16"/>
  <c r="Z949" i="16"/>
  <c r="Z948" i="16"/>
  <c r="Z947" i="16"/>
  <c r="Z941" i="16"/>
  <c r="Z940" i="16"/>
  <c r="Z939" i="16"/>
  <c r="Z933" i="16"/>
  <c r="Z932" i="16"/>
  <c r="Z931" i="16"/>
  <c r="Z925" i="16"/>
  <c r="Z927" i="16" s="1"/>
  <c r="Z919" i="16"/>
  <c r="Z918" i="16"/>
  <c r="Z917" i="16"/>
  <c r="Z911" i="16"/>
  <c r="Z910" i="16"/>
  <c r="Z909" i="16"/>
  <c r="Z903" i="16"/>
  <c r="Z897" i="16"/>
  <c r="Z899" i="16" s="1"/>
  <c r="Z891" i="16"/>
  <c r="Z885" i="16"/>
  <c r="Z887" i="16" s="1"/>
  <c r="Z879" i="16"/>
  <c r="Z873" i="16"/>
  <c r="Z867" i="16"/>
  <c r="Z859" i="16"/>
  <c r="Z861" i="16" s="1"/>
  <c r="Z853" i="16"/>
  <c r="Z847" i="16"/>
  <c r="Z849" i="16" s="1"/>
  <c r="Z841" i="16"/>
  <c r="Z840" i="16"/>
  <c r="Z834" i="16"/>
  <c r="Z827" i="16"/>
  <c r="Z829" i="16" s="1"/>
  <c r="Z821" i="16"/>
  <c r="Z820" i="16"/>
  <c r="Z758" i="16"/>
  <c r="Z752" i="16"/>
  <c r="Z746" i="16"/>
  <c r="Z740" i="16"/>
  <c r="Z734" i="16"/>
  <c r="Z728" i="16"/>
  <c r="Z722" i="16"/>
  <c r="Z715" i="16"/>
  <c r="Z717" i="16" s="1"/>
  <c r="Z709" i="16"/>
  <c r="Z708" i="16"/>
  <c r="Z707" i="16"/>
  <c r="Z706" i="16"/>
  <c r="Z705" i="16"/>
  <c r="Z704" i="16"/>
  <c r="Z703" i="16"/>
  <c r="Z697" i="16"/>
  <c r="Z696" i="16"/>
  <c r="Z695" i="16"/>
  <c r="Z689" i="16"/>
  <c r="Z688" i="16"/>
  <c r="Z687" i="16"/>
  <c r="Z686" i="16"/>
  <c r="Z680" i="16"/>
  <c r="Z672" i="16"/>
  <c r="Z671" i="16"/>
  <c r="Z664" i="16"/>
  <c r="Z663" i="16"/>
  <c r="Z657" i="16"/>
  <c r="Z656" i="16"/>
  <c r="Z655" i="16"/>
  <c r="Z654" i="16"/>
  <c r="Z648" i="16"/>
  <c r="Z647" i="16"/>
  <c r="Z646" i="16"/>
  <c r="Z639" i="16"/>
  <c r="Z638" i="16"/>
  <c r="Z637" i="16"/>
  <c r="Z629" i="16"/>
  <c r="Z628" i="16"/>
  <c r="Z627" i="16"/>
  <c r="Z626" i="16"/>
  <c r="Z620" i="16"/>
  <c r="Z619" i="16"/>
  <c r="Z618" i="16"/>
  <c r="Z612" i="16"/>
  <c r="Z606" i="16"/>
  <c r="Z605" i="16"/>
  <c r="Z604" i="16"/>
  <c r="Z598" i="16"/>
  <c r="Z597" i="16"/>
  <c r="Z596" i="16"/>
  <c r="Z590" i="16"/>
  <c r="Z589" i="16"/>
  <c r="Z588" i="16"/>
  <c r="Z581" i="16"/>
  <c r="Z580" i="16"/>
  <c r="Z579" i="16"/>
  <c r="Z573" i="16"/>
  <c r="Z564" i="16"/>
  <c r="Z563" i="16"/>
  <c r="Z552" i="16"/>
  <c r="Z554" i="16" s="1"/>
  <c r="Z546" i="16"/>
  <c r="Z540" i="16"/>
  <c r="Z542" i="16" s="1"/>
  <c r="Z534" i="16"/>
  <c r="Z533" i="16"/>
  <c r="Z532" i="16"/>
  <c r="Z531" i="16"/>
  <c r="Z525" i="16"/>
  <c r="Z527" i="16" s="1"/>
  <c r="Z519" i="16"/>
  <c r="Z521" i="16" s="1"/>
  <c r="Z513" i="16"/>
  <c r="Z515" i="16" s="1"/>
  <c r="Z507" i="16"/>
  <c r="Z509" i="16" s="1"/>
  <c r="Z501" i="16"/>
  <c r="Z495" i="16"/>
  <c r="Z497" i="16" s="1"/>
  <c r="Z489" i="16"/>
  <c r="Z491" i="16" s="1"/>
  <c r="Z483" i="16"/>
  <c r="Z474" i="16"/>
  <c r="Z476" i="16" s="1"/>
  <c r="Z468" i="16"/>
  <c r="Z470" i="16" s="1"/>
  <c r="Z462" i="16"/>
  <c r="Z456" i="16"/>
  <c r="Z458" i="16" s="1"/>
  <c r="Z447" i="16"/>
  <c r="Z449" i="16" s="1"/>
  <c r="Z451" i="16" s="1"/>
  <c r="Z435" i="16"/>
  <c r="Z429" i="16"/>
  <c r="Z431" i="16" s="1"/>
  <c r="Z422" i="16"/>
  <c r="Z421" i="16"/>
  <c r="Z420" i="16"/>
  <c r="Z411" i="16"/>
  <c r="Z400" i="16"/>
  <c r="Z402" i="16" s="1"/>
  <c r="Z394" i="16"/>
  <c r="Z385" i="16"/>
  <c r="Z387" i="16" s="1"/>
  <c r="Z379" i="16"/>
  <c r="Z370" i="16"/>
  <c r="Z372" i="16" s="1"/>
  <c r="Z364" i="16"/>
  <c r="Z358" i="16"/>
  <c r="Z349" i="16"/>
  <c r="Z348" i="16"/>
  <c r="Z347" i="16"/>
  <c r="Z341" i="16"/>
  <c r="Z343" i="16" s="1"/>
  <c r="Z335" i="16"/>
  <c r="Z329" i="16"/>
  <c r="Z331" i="16" s="1"/>
  <c r="Z323" i="16"/>
  <c r="Z325" i="16" s="1"/>
  <c r="Z317" i="16"/>
  <c r="Z316" i="16"/>
  <c r="Z310" i="16"/>
  <c r="Z312" i="16" s="1"/>
  <c r="Z304" i="16"/>
  <c r="Z306" i="16" s="1"/>
  <c r="Z298" i="16"/>
  <c r="Z300" i="16" s="1"/>
  <c r="Z292" i="16"/>
  <c r="Z283" i="16"/>
  <c r="Z282" i="16"/>
  <c r="Z281" i="16"/>
  <c r="Z275" i="16"/>
  <c r="Z277" i="16" s="1"/>
  <c r="Z269" i="16"/>
  <c r="Z271" i="16" s="1"/>
  <c r="Z263" i="16"/>
  <c r="Z256" i="16"/>
  <c r="Z258" i="16" s="1"/>
  <c r="Z247" i="16"/>
  <c r="Z249" i="16" s="1"/>
  <c r="Z241" i="16"/>
  <c r="Z243" i="16" s="1"/>
  <c r="Z235" i="16"/>
  <c r="Z237" i="16" s="1"/>
  <c r="Z229" i="16"/>
  <c r="Z231" i="16" s="1"/>
  <c r="Z223" i="16"/>
  <c r="Z225" i="16" s="1"/>
  <c r="Z217" i="16"/>
  <c r="Z219" i="16" s="1"/>
  <c r="Z208" i="16"/>
  <c r="Z199" i="16"/>
  <c r="Z198" i="16"/>
  <c r="Z192" i="16"/>
  <c r="Z191" i="16"/>
  <c r="Z190" i="16"/>
  <c r="Z184" i="16"/>
  <c r="Z167" i="16"/>
  <c r="Z166" i="16"/>
  <c r="Z165" i="16"/>
  <c r="Z164" i="16"/>
  <c r="Z163" i="16"/>
  <c r="Z162" i="16"/>
  <c r="Z161" i="16"/>
  <c r="Z160" i="16"/>
  <c r="Z159" i="16"/>
  <c r="Z158" i="16"/>
  <c r="Z157" i="16"/>
  <c r="Z156" i="16"/>
  <c r="Z154" i="16"/>
  <c r="Z148" i="16"/>
  <c r="Z147" i="16"/>
  <c r="Z146" i="16"/>
  <c r="Z145" i="16"/>
  <c r="Z144" i="16"/>
  <c r="Z143" i="16"/>
  <c r="Z136" i="16"/>
  <c r="Z135" i="16"/>
  <c r="Z134" i="16"/>
  <c r="Z133" i="16"/>
  <c r="Z132" i="16"/>
  <c r="Z126" i="16"/>
  <c r="AV10" i="19" s="1"/>
  <c r="Z125" i="16"/>
  <c r="Z124" i="16"/>
  <c r="Z123" i="16"/>
  <c r="Z122" i="16"/>
  <c r="Z121" i="16"/>
  <c r="Z120" i="16"/>
  <c r="Z119" i="16"/>
  <c r="Z118" i="16"/>
  <c r="Z117" i="16"/>
  <c r="Z116" i="16"/>
  <c r="Z115" i="16"/>
  <c r="Z114" i="16"/>
  <c r="Z108" i="16"/>
  <c r="Z107" i="16"/>
  <c r="Z106" i="16"/>
  <c r="Z105" i="16"/>
  <c r="Z104" i="16"/>
  <c r="Z103" i="16"/>
  <c r="Z97" i="16"/>
  <c r="Z96" i="16"/>
  <c r="Z95" i="16"/>
  <c r="Z94" i="16"/>
  <c r="Z93" i="16"/>
  <c r="Z92" i="16"/>
  <c r="Z86" i="16"/>
  <c r="Z85" i="16"/>
  <c r="Z83" i="16"/>
  <c r="Z82" i="16"/>
  <c r="Z81" i="16"/>
  <c r="Z80" i="16"/>
  <c r="Z79" i="16"/>
  <c r="Z78" i="16"/>
  <c r="Z77" i="16"/>
  <c r="Z71" i="16"/>
  <c r="Z70" i="16"/>
  <c r="Z69" i="16"/>
  <c r="Z68" i="16"/>
  <c r="Z67" i="16"/>
  <c r="Z60" i="16"/>
  <c r="Z59" i="16"/>
  <c r="Z58" i="16"/>
  <c r="Z57" i="16"/>
  <c r="Z56" i="16"/>
  <c r="Z50" i="16"/>
  <c r="Z49" i="16"/>
  <c r="Z48" i="16"/>
  <c r="Z47" i="16"/>
  <c r="Z46" i="16"/>
  <c r="Z40" i="16"/>
  <c r="Z39" i="16"/>
  <c r="Z38" i="16"/>
  <c r="Z37" i="16"/>
  <c r="Z36" i="16"/>
  <c r="Z35" i="16"/>
  <c r="Z34" i="16"/>
  <c r="Z33" i="16"/>
  <c r="Z27" i="16"/>
  <c r="Z26" i="16"/>
  <c r="Z24" i="16"/>
  <c r="Z23" i="16"/>
  <c r="Z22" i="16"/>
  <c r="Z16" i="16"/>
  <c r="Z14" i="16"/>
  <c r="Z13" i="16"/>
  <c r="Z12" i="16"/>
  <c r="Z562" i="4"/>
  <c r="S48" i="18" s="1"/>
  <c r="S48" i="5" s="1"/>
  <c r="Z558" i="4"/>
  <c r="S47" i="19" s="1"/>
  <c r="Z557" i="4"/>
  <c r="S47" i="18" s="1"/>
  <c r="Z556" i="4"/>
  <c r="S46" i="19" s="1"/>
  <c r="Z555" i="4"/>
  <c r="S46" i="18" s="1"/>
  <c r="Z550" i="4"/>
  <c r="Z536" i="4"/>
  <c r="Z535" i="4"/>
  <c r="Z534" i="4"/>
  <c r="Z515" i="4"/>
  <c r="Z504" i="4"/>
  <c r="Z493" i="4"/>
  <c r="Z492" i="4"/>
  <c r="Z491" i="4"/>
  <c r="Z490" i="4"/>
  <c r="Z484" i="4"/>
  <c r="Z483" i="4"/>
  <c r="Z482" i="4"/>
  <c r="Z481" i="4"/>
  <c r="Z480" i="4"/>
  <c r="Z479" i="4"/>
  <c r="Z478" i="4"/>
  <c r="Z477" i="4"/>
  <c r="Z476" i="4"/>
  <c r="Z475" i="4"/>
  <c r="Z474" i="4"/>
  <c r="Z473" i="4"/>
  <c r="Z472" i="4"/>
  <c r="Z471" i="4"/>
  <c r="Z470" i="4"/>
  <c r="Z469" i="4"/>
  <c r="Z468" i="4"/>
  <c r="Z467" i="4"/>
  <c r="Z466" i="4"/>
  <c r="Z465" i="4"/>
  <c r="Z464" i="4"/>
  <c r="Z463" i="4"/>
  <c r="Z462" i="4"/>
  <c r="Z453" i="4"/>
  <c r="Z452" i="4"/>
  <c r="Z451" i="4"/>
  <c r="S34" i="19" s="1"/>
  <c r="Z450" i="4"/>
  <c r="Z449" i="4"/>
  <c r="Z448" i="4"/>
  <c r="Z447" i="4"/>
  <c r="Z446" i="4"/>
  <c r="Z445" i="4"/>
  <c r="Z444" i="4"/>
  <c r="Z443" i="4"/>
  <c r="Z437" i="4"/>
  <c r="Z436" i="4"/>
  <c r="Z435" i="4"/>
  <c r="Z434" i="4"/>
  <c r="Z433" i="4"/>
  <c r="Z432" i="4"/>
  <c r="Z431" i="4"/>
  <c r="Z430" i="4"/>
  <c r="Z429" i="4"/>
  <c r="Z428" i="4"/>
  <c r="Z427" i="4"/>
  <c r="Z426" i="4"/>
  <c r="Z425" i="4"/>
  <c r="Z424" i="4"/>
  <c r="Z423" i="4"/>
  <c r="Z422" i="4"/>
  <c r="Z421" i="4"/>
  <c r="Z420" i="4"/>
  <c r="Z419" i="4"/>
  <c r="Z418" i="4"/>
  <c r="Z417" i="4"/>
  <c r="Z416" i="4"/>
  <c r="Z415" i="4"/>
  <c r="Z414" i="4"/>
  <c r="Z413" i="4"/>
  <c r="Z386" i="4"/>
  <c r="Z392" i="4" s="1"/>
  <c r="S30" i="18" s="1"/>
  <c r="S30" i="5" s="1"/>
  <c r="Z376" i="4"/>
  <c r="Z371" i="4"/>
  <c r="Z370" i="4"/>
  <c r="Z369" i="4"/>
  <c r="Z368" i="4"/>
  <c r="Z363" i="4"/>
  <c r="Z362" i="4"/>
  <c r="Z361" i="4"/>
  <c r="Z360" i="4"/>
  <c r="Z359" i="4"/>
  <c r="Z351" i="4"/>
  <c r="Z353" i="4" s="1"/>
  <c r="Z346" i="4"/>
  <c r="Z340" i="4"/>
  <c r="Z343" i="4" s="1"/>
  <c r="Z335" i="4"/>
  <c r="Z334" i="4"/>
  <c r="Z333" i="4"/>
  <c r="Z328" i="4"/>
  <c r="Z327" i="4"/>
  <c r="Z321" i="4"/>
  <c r="Z320" i="4"/>
  <c r="Z319" i="4"/>
  <c r="Z318" i="4"/>
  <c r="Z317" i="4"/>
  <c r="Z316" i="4"/>
  <c r="Z315" i="4"/>
  <c r="Z314" i="4"/>
  <c r="Z313" i="4"/>
  <c r="Z305" i="4"/>
  <c r="Z307" i="4" s="1"/>
  <c r="Z300" i="4"/>
  <c r="Z302" i="4" s="1"/>
  <c r="Z295" i="4"/>
  <c r="Z297" i="4" s="1"/>
  <c r="Z289" i="4"/>
  <c r="Z288" i="4"/>
  <c r="Z287" i="4"/>
  <c r="Z269" i="4"/>
  <c r="Z268" i="4"/>
  <c r="Z267" i="4"/>
  <c r="Z266" i="4"/>
  <c r="Z265" i="4"/>
  <c r="Z257" i="4"/>
  <c r="Z256" i="4"/>
  <c r="Z255" i="4"/>
  <c r="Z254" i="4"/>
  <c r="Z253" i="4"/>
  <c r="Z252" i="4"/>
  <c r="Z247" i="4"/>
  <c r="Z246" i="4"/>
  <c r="Z245" i="4"/>
  <c r="Z240" i="4"/>
  <c r="Z239" i="4"/>
  <c r="Z238" i="4"/>
  <c r="Z232" i="4"/>
  <c r="Z231" i="4"/>
  <c r="Z230" i="4"/>
  <c r="Z229" i="4"/>
  <c r="Z228" i="4"/>
  <c r="Z227" i="4"/>
  <c r="Z226" i="4"/>
  <c r="Z225" i="4"/>
  <c r="Z224" i="4"/>
  <c r="Z223" i="4"/>
  <c r="Z222" i="4"/>
  <c r="Z221" i="4"/>
  <c r="Z220" i="4"/>
  <c r="Z219" i="4"/>
  <c r="Z218" i="4"/>
  <c r="Z217" i="4"/>
  <c r="Z216" i="4"/>
  <c r="Z210" i="4"/>
  <c r="Z213" i="4" s="1"/>
  <c r="Z204" i="4"/>
  <c r="Z203" i="4"/>
  <c r="Z202" i="4"/>
  <c r="Z201" i="4"/>
  <c r="Z195" i="4"/>
  <c r="Z184" i="4"/>
  <c r="Z183" i="4"/>
  <c r="Z176" i="4"/>
  <c r="Z175" i="4"/>
  <c r="Z174" i="4"/>
  <c r="Z173" i="4"/>
  <c r="Z165" i="4"/>
  <c r="Z160" i="4"/>
  <c r="Z162" i="4" s="1"/>
  <c r="Z155" i="4"/>
  <c r="Z150" i="4"/>
  <c r="Z149" i="4"/>
  <c r="Z144" i="4"/>
  <c r="Z143" i="4"/>
  <c r="Z127" i="4"/>
  <c r="Z126" i="4"/>
  <c r="S17" i="17" s="1"/>
  <c r="Z125" i="4"/>
  <c r="S12" i="17" s="1"/>
  <c r="Z124" i="4"/>
  <c r="S11" i="19" s="1"/>
  <c r="Z123" i="4"/>
  <c r="S8" i="19" s="1"/>
  <c r="Z122" i="4"/>
  <c r="Z121" i="4"/>
  <c r="Z116" i="4"/>
  <c r="Z114" i="4"/>
  <c r="Z113" i="4"/>
  <c r="Z112" i="4"/>
  <c r="Z107" i="4"/>
  <c r="Z106" i="4"/>
  <c r="Z105" i="4"/>
  <c r="Z104" i="4"/>
  <c r="S14" i="18" s="1"/>
  <c r="S14" i="5" s="1"/>
  <c r="Z103" i="4"/>
  <c r="Z101" i="4"/>
  <c r="Z96" i="4"/>
  <c r="Z95" i="4"/>
  <c r="Z93" i="4"/>
  <c r="Z92" i="4"/>
  <c r="S10" i="18" s="1"/>
  <c r="S10" i="5" s="1"/>
  <c r="Z91" i="4"/>
  <c r="S9" i="18" s="1"/>
  <c r="S9" i="5" s="1"/>
  <c r="Z90" i="4"/>
  <c r="Z89" i="4"/>
  <c r="Z88" i="4"/>
  <c r="S13" i="19" s="1"/>
  <c r="Z87" i="4"/>
  <c r="Z82" i="4"/>
  <c r="Z81" i="4"/>
  <c r="Z80" i="4"/>
  <c r="Z79" i="4"/>
  <c r="Z78" i="4"/>
  <c r="Z73" i="4"/>
  <c r="Z71" i="4"/>
  <c r="Z70" i="4"/>
  <c r="Z69" i="4"/>
  <c r="Z68" i="4"/>
  <c r="Z63" i="4"/>
  <c r="S17" i="19" s="1"/>
  <c r="Z62" i="4"/>
  <c r="Z60" i="4"/>
  <c r="Z58" i="4"/>
  <c r="Z53" i="4"/>
  <c r="Z52" i="4"/>
  <c r="Z51" i="4"/>
  <c r="Z46" i="4"/>
  <c r="Z45" i="4"/>
  <c r="Z44" i="4"/>
  <c r="Z39" i="4"/>
  <c r="Z38" i="4"/>
  <c r="Z37" i="4"/>
  <c r="Z36" i="4"/>
  <c r="Z31" i="4"/>
  <c r="Z28" i="4"/>
  <c r="Z27" i="4"/>
  <c r="Z22" i="4"/>
  <c r="Z21" i="4"/>
  <c r="Z20" i="4"/>
  <c r="Z19" i="4"/>
  <c r="S15" i="18" s="1"/>
  <c r="S15" i="5" s="1"/>
  <c r="Z18" i="4"/>
  <c r="Z13" i="4"/>
  <c r="Z12" i="4"/>
  <c r="Z11" i="4"/>
  <c r="Z10" i="4"/>
  <c r="S13" i="18" s="1"/>
  <c r="X2055" i="16" l="1"/>
  <c r="X2292" i="16" s="1"/>
  <c r="AV9" i="19"/>
  <c r="V1242" i="16"/>
  <c r="V1238" i="16" s="1"/>
  <c r="AA1218" i="16"/>
  <c r="AH1216" i="16"/>
  <c r="AJ764" i="16"/>
  <c r="AH766" i="16"/>
  <c r="AJ766" i="16" s="1"/>
  <c r="AA1224" i="16"/>
  <c r="AH1222" i="16"/>
  <c r="X1242" i="16"/>
  <c r="X2057" i="16" s="1"/>
  <c r="X2294" i="16" s="1"/>
  <c r="AJ770" i="16"/>
  <c r="AH772" i="16"/>
  <c r="AJ772" i="16" s="1"/>
  <c r="AV48" i="18"/>
  <c r="AV48" i="5" s="1"/>
  <c r="AJ1209" i="16"/>
  <c r="AH1212" i="16"/>
  <c r="AJ1212" i="16" s="1"/>
  <c r="AJ776" i="16"/>
  <c r="AH778" i="16"/>
  <c r="AJ778" i="16" s="1"/>
  <c r="S33" i="19"/>
  <c r="Z459" i="4"/>
  <c r="S34" i="18" s="1"/>
  <c r="S34" i="5" s="1"/>
  <c r="S8" i="18"/>
  <c r="S8" i="5" s="1"/>
  <c r="S16" i="18"/>
  <c r="S16" i="5" s="1"/>
  <c r="S46" i="5"/>
  <c r="S21" i="19"/>
  <c r="S49" i="19"/>
  <c r="S13" i="5"/>
  <c r="W2057" i="16"/>
  <c r="W2294" i="16" s="1"/>
  <c r="W1238" i="16"/>
  <c r="Y2057" i="16"/>
  <c r="Y2294" i="16" s="1"/>
  <c r="Y1238" i="16"/>
  <c r="Z2102" i="16"/>
  <c r="Z2110" i="16" s="1"/>
  <c r="V2057" i="16"/>
  <c r="V2294" i="16" s="1"/>
  <c r="AR20" i="19"/>
  <c r="AR44" i="19" s="1"/>
  <c r="AR50" i="19" s="1"/>
  <c r="V2055" i="16"/>
  <c r="V2292" i="16" s="1"/>
  <c r="AQ20" i="18"/>
  <c r="U2053" i="16"/>
  <c r="U2290" i="16" s="1"/>
  <c r="AV8" i="19"/>
  <c r="AV8" i="17"/>
  <c r="AV18" i="17" s="1"/>
  <c r="AV10" i="18"/>
  <c r="AV10" i="5" s="1"/>
  <c r="AS20" i="19"/>
  <c r="AS44" i="19" s="1"/>
  <c r="AS50" i="19" s="1"/>
  <c r="W2055" i="16"/>
  <c r="W2292" i="16" s="1"/>
  <c r="Z157" i="4"/>
  <c r="S20" i="18"/>
  <c r="Z526" i="4"/>
  <c r="S35" i="19"/>
  <c r="S37" i="19" s="1"/>
  <c r="N50" i="18"/>
  <c r="N50" i="5" s="1"/>
  <c r="N44" i="5"/>
  <c r="S18" i="17"/>
  <c r="S12" i="5"/>
  <c r="Z402" i="4"/>
  <c r="S29" i="17"/>
  <c r="S24" i="19"/>
  <c r="Z508" i="4"/>
  <c r="S39" i="18"/>
  <c r="S47" i="5"/>
  <c r="S11" i="18"/>
  <c r="S11" i="5" s="1"/>
  <c r="S18" i="19"/>
  <c r="S17" i="18"/>
  <c r="S17" i="5" s="1"/>
  <c r="S33" i="18"/>
  <c r="S35" i="18"/>
  <c r="Z552" i="4"/>
  <c r="S45" i="18"/>
  <c r="AU50" i="19"/>
  <c r="AV9" i="18"/>
  <c r="Z2236" i="16"/>
  <c r="Z2238" i="16"/>
  <c r="Z131" i="4"/>
  <c r="Z135" i="4"/>
  <c r="Z724" i="16"/>
  <c r="AA1212" i="16"/>
  <c r="AA778" i="16"/>
  <c r="AA766" i="16"/>
  <c r="Z674" i="16"/>
  <c r="Z1429" i="16"/>
  <c r="Z1494" i="16"/>
  <c r="Z18" i="16"/>
  <c r="Z73" i="16"/>
  <c r="Z194" i="16"/>
  <c r="Z285" i="16"/>
  <c r="Z641" i="16"/>
  <c r="Z566" i="16"/>
  <c r="Z568" i="16" s="1"/>
  <c r="Z1961" i="16"/>
  <c r="AA1201" i="16"/>
  <c r="AH1201" i="16" s="1"/>
  <c r="Z584" i="16"/>
  <c r="Z622" i="16"/>
  <c r="Z823" i="16"/>
  <c r="Z711" i="16"/>
  <c r="Z1868" i="16"/>
  <c r="Z592" i="16"/>
  <c r="Z691" i="16"/>
  <c r="Z970" i="16"/>
  <c r="Z1268" i="16"/>
  <c r="Z1327" i="16"/>
  <c r="Z1577" i="16"/>
  <c r="Z1595" i="16"/>
  <c r="Z1614" i="16"/>
  <c r="Z1630" i="16"/>
  <c r="Z1646" i="16"/>
  <c r="Z1662" i="16"/>
  <c r="Z1678" i="16"/>
  <c r="Z1694" i="16"/>
  <c r="Z1710" i="16"/>
  <c r="Z1851" i="16"/>
  <c r="Z569" i="4"/>
  <c r="Z187" i="4"/>
  <c r="S21" i="18" s="1"/>
  <c r="Z544" i="4"/>
  <c r="Z699" i="16"/>
  <c r="Z730" i="16"/>
  <c r="Z1025" i="16"/>
  <c r="Z1039" i="16" s="1"/>
  <c r="Z1486" i="16"/>
  <c r="Z1817" i="16"/>
  <c r="Z1898" i="16"/>
  <c r="Z351" i="16"/>
  <c r="Z396" i="16"/>
  <c r="Z404" i="16" s="1"/>
  <c r="Z464" i="16"/>
  <c r="Z478" i="16" s="1"/>
  <c r="Z976" i="16"/>
  <c r="Z1802" i="16"/>
  <c r="Z88" i="16"/>
  <c r="Z201" i="16"/>
  <c r="Z319" i="16"/>
  <c r="Z366" i="16"/>
  <c r="Z437" i="16"/>
  <c r="Z548" i="16"/>
  <c r="Z614" i="16"/>
  <c r="Z1000" i="16"/>
  <c r="Z1170" i="16"/>
  <c r="Z1622" i="16"/>
  <c r="Z1686" i="16"/>
  <c r="Z337" i="16"/>
  <c r="Z42" i="16"/>
  <c r="Z99" i="16"/>
  <c r="Z175" i="16"/>
  <c r="Z171" i="16"/>
  <c r="Z2288" i="16" s="1"/>
  <c r="Z503" i="16"/>
  <c r="Z536" i="16"/>
  <c r="Z682" i="16"/>
  <c r="Z1287" i="16"/>
  <c r="Z608" i="16"/>
  <c r="Z659" i="16"/>
  <c r="Z913" i="16"/>
  <c r="Z1045" i="16"/>
  <c r="Z1316" i="16"/>
  <c r="Z1415" i="16"/>
  <c r="Z1843" i="16"/>
  <c r="Z600" i="16"/>
  <c r="Z631" i="16"/>
  <c r="Z666" i="16"/>
  <c r="Z1127" i="16"/>
  <c r="Z1401" i="16"/>
  <c r="Z1465" i="16"/>
  <c r="Z1585" i="16"/>
  <c r="Z1654" i="16"/>
  <c r="Z1718" i="16"/>
  <c r="Z2036" i="16"/>
  <c r="AV26" i="19" s="1"/>
  <c r="Z1794" i="16"/>
  <c r="Z1825" i="16"/>
  <c r="Z843" i="16"/>
  <c r="Z943" i="16"/>
  <c r="Z1064" i="16"/>
  <c r="Z1310" i="16"/>
  <c r="Z1351" i="16"/>
  <c r="Z1371" i="16"/>
  <c r="Z1837" i="16"/>
  <c r="Z1857" i="16"/>
  <c r="Z2129" i="16"/>
  <c r="Z1095" i="16"/>
  <c r="Z1728" i="16"/>
  <c r="Z1811" i="16"/>
  <c r="Z1878" i="16"/>
  <c r="Z1258" i="16"/>
  <c r="Z1298" i="16"/>
  <c r="Z1504" i="16"/>
  <c r="Z1569" i="16"/>
  <c r="Z1606" i="16"/>
  <c r="Z1638" i="16"/>
  <c r="Z1670" i="16"/>
  <c r="Z1702" i="16"/>
  <c r="Z1761" i="16"/>
  <c r="Z1512" i="16"/>
  <c r="Z1520" i="16"/>
  <c r="Z1528" i="16"/>
  <c r="Z1538" i="16"/>
  <c r="Z52" i="16"/>
  <c r="Z63" i="16"/>
  <c r="Z128" i="16"/>
  <c r="Z150" i="16"/>
  <c r="Z155" i="16"/>
  <c r="AV8" i="18" s="1"/>
  <c r="Z742" i="16"/>
  <c r="Z754" i="16"/>
  <c r="Z875" i="16"/>
  <c r="Z957" i="16"/>
  <c r="Z1177" i="16"/>
  <c r="Z1185" i="16" s="1"/>
  <c r="Z29" i="16"/>
  <c r="Z186" i="16"/>
  <c r="Z210" i="16"/>
  <c r="Z212" i="16" s="1"/>
  <c r="Z251" i="16"/>
  <c r="Z265" i="16"/>
  <c r="Z294" i="16"/>
  <c r="Z381" i="16"/>
  <c r="Z389" i="16" s="1"/>
  <c r="Z413" i="16"/>
  <c r="Z415" i="16" s="1"/>
  <c r="Z575" i="16"/>
  <c r="Z650" i="16"/>
  <c r="Z1057" i="16"/>
  <c r="Z1139" i="16"/>
  <c r="Z110" i="16"/>
  <c r="Z139" i="16"/>
  <c r="Z736" i="16"/>
  <c r="Z748" i="16"/>
  <c r="Z760" i="16"/>
  <c r="Z836" i="16"/>
  <c r="Z855" i="16"/>
  <c r="Z869" i="16"/>
  <c r="Z881" i="16"/>
  <c r="Z893" i="16"/>
  <c r="Z905" i="16"/>
  <c r="Z921" i="16"/>
  <c r="Z935" i="16"/>
  <c r="Z951" i="16"/>
  <c r="Z963" i="16"/>
  <c r="Z360" i="16"/>
  <c r="Z425" i="16"/>
  <c r="Z485" i="16"/>
  <c r="Z1051" i="16"/>
  <c r="Z1079" i="16"/>
  <c r="Z1115" i="16"/>
  <c r="Z1155" i="16"/>
  <c r="Z1197" i="16"/>
  <c r="Z1357" i="16"/>
  <c r="Z1906" i="16"/>
  <c r="Z2045" i="16"/>
  <c r="Z2047" i="16" s="1"/>
  <c r="Z2083" i="16"/>
  <c r="Z1071" i="16"/>
  <c r="Z1087" i="16"/>
  <c r="Z1109" i="16"/>
  <c r="Z1121" i="16"/>
  <c r="Z1133" i="16"/>
  <c r="Z1147" i="16"/>
  <c r="Z1191" i="16"/>
  <c r="Z1782" i="16"/>
  <c r="Z1930" i="16"/>
  <c r="Z2142" i="16"/>
  <c r="Z1435" i="16"/>
  <c r="Z1447" i="16"/>
  <c r="Z1471" i="16"/>
  <c r="Z1544" i="16"/>
  <c r="Z1561" i="16"/>
  <c r="Z1954" i="16"/>
  <c r="Z2117" i="16"/>
  <c r="Z2284" i="16"/>
  <c r="Z2205" i="16"/>
  <c r="AV31" i="19" s="1"/>
  <c r="AV31" i="5" s="1"/>
  <c r="Z1912" i="16"/>
  <c r="Z1924" i="16"/>
  <c r="Z1936" i="16"/>
  <c r="Z1948" i="16"/>
  <c r="Z1967" i="16"/>
  <c r="Z2065" i="16"/>
  <c r="Z2077" i="16"/>
  <c r="Z2089" i="16"/>
  <c r="Z2123" i="16"/>
  <c r="Z2135" i="16"/>
  <c r="Z2187" i="16"/>
  <c r="Z2199" i="16"/>
  <c r="Z2203" i="16"/>
  <c r="Z2247" i="16"/>
  <c r="Z2249" i="16" s="1"/>
  <c r="Z2270" i="16"/>
  <c r="Z2282" i="16"/>
  <c r="Z207" i="4"/>
  <c r="Z271" i="4"/>
  <c r="Z337" i="4"/>
  <c r="Z378" i="4"/>
  <c r="Z259" i="4"/>
  <c r="Z33" i="4"/>
  <c r="Z24" i="4"/>
  <c r="Z65" i="4"/>
  <c r="Z75" i="4"/>
  <c r="Z109" i="4"/>
  <c r="Z487" i="4"/>
  <c r="Z15" i="4"/>
  <c r="Z48" i="4"/>
  <c r="Z118" i="4"/>
  <c r="Z242" i="4"/>
  <c r="Z291" i="4"/>
  <c r="Z41" i="4"/>
  <c r="Z55" i="4"/>
  <c r="Z152" i="4"/>
  <c r="Z180" i="4"/>
  <c r="Z235" i="4"/>
  <c r="Z565" i="4"/>
  <c r="Z567" i="4"/>
  <c r="Z330" i="4"/>
  <c r="Z365" i="4"/>
  <c r="Z373" i="4"/>
  <c r="Z495" i="4"/>
  <c r="S36" i="18" s="1"/>
  <c r="S36" i="5" s="1"/>
  <c r="Z84" i="4"/>
  <c r="Z129" i="4"/>
  <c r="Z309" i="4"/>
  <c r="Z348" i="4"/>
  <c r="Z146" i="4"/>
  <c r="S20" i="19" s="1"/>
  <c r="Z279" i="4"/>
  <c r="Z98" i="4"/>
  <c r="Z167" i="4"/>
  <c r="Z538" i="4"/>
  <c r="Z542" i="4"/>
  <c r="S43" i="18" s="1"/>
  <c r="Z249" i="4"/>
  <c r="Z518" i="4"/>
  <c r="Z440" i="4"/>
  <c r="Z560" i="4"/>
  <c r="Z198" i="4"/>
  <c r="Z324" i="4"/>
  <c r="J34" i="19"/>
  <c r="K34" i="19"/>
  <c r="I34" i="19"/>
  <c r="X1238" i="16" l="1"/>
  <c r="AT20" i="18" s="1"/>
  <c r="AV49" i="18"/>
  <c r="AV49" i="5" s="1"/>
  <c r="AV18" i="19"/>
  <c r="AJ1201" i="16"/>
  <c r="AH1205" i="16"/>
  <c r="AJ1205" i="16" s="1"/>
  <c r="Z1240" i="16"/>
  <c r="AV20" i="19" s="1"/>
  <c r="AJ1222" i="16"/>
  <c r="AH1224" i="16"/>
  <c r="AJ1224" i="16" s="1"/>
  <c r="AJ1216" i="16"/>
  <c r="AH1218" i="16"/>
  <c r="AJ1218" i="16" s="1"/>
  <c r="S29" i="18"/>
  <c r="S32" i="18" s="1"/>
  <c r="S21" i="5"/>
  <c r="S22" i="19"/>
  <c r="S24" i="18"/>
  <c r="S24" i="5" s="1"/>
  <c r="S35" i="5"/>
  <c r="AV8" i="5"/>
  <c r="AU20" i="18"/>
  <c r="Y2053" i="16"/>
  <c r="Y2290" i="16" s="1"/>
  <c r="Z2049" i="16"/>
  <c r="AV27" i="18"/>
  <c r="AV27" i="5" s="1"/>
  <c r="Z203" i="16"/>
  <c r="AR20" i="18"/>
  <c r="V2053" i="16"/>
  <c r="V2290" i="16" s="1"/>
  <c r="AV36" i="18"/>
  <c r="AV36" i="5" s="1"/>
  <c r="Z2234" i="16"/>
  <c r="AV34" i="18" s="1"/>
  <c r="AS20" i="18"/>
  <c r="W2053" i="16"/>
  <c r="W2290" i="16" s="1"/>
  <c r="Z2178" i="16"/>
  <c r="Z2176" i="16" s="1"/>
  <c r="AV29" i="19" s="1"/>
  <c r="AV29" i="5" s="1"/>
  <c r="AV34" i="19"/>
  <c r="AQ44" i="18"/>
  <c r="AQ20" i="5"/>
  <c r="Z273" i="4"/>
  <c r="S25" i="18"/>
  <c r="S45" i="5"/>
  <c r="S49" i="18"/>
  <c r="S49" i="5" s="1"/>
  <c r="S28" i="19"/>
  <c r="S18" i="18"/>
  <c r="S18" i="5" s="1"/>
  <c r="S39" i="5"/>
  <c r="S32" i="17"/>
  <c r="S44" i="17" s="1"/>
  <c r="S50" i="17" s="1"/>
  <c r="Z573" i="4"/>
  <c r="Z133" i="4"/>
  <c r="Z137" i="4" s="1"/>
  <c r="Z577" i="4"/>
  <c r="S43" i="19"/>
  <c r="S20" i="5"/>
  <c r="S22" i="18"/>
  <c r="S41" i="18"/>
  <c r="S41" i="5" s="1"/>
  <c r="Z520" i="4"/>
  <c r="S33" i="5"/>
  <c r="S37" i="18"/>
  <c r="S37" i="5" s="1"/>
  <c r="AV18" i="18"/>
  <c r="AV9" i="5"/>
  <c r="AV44" i="17"/>
  <c r="AV50" i="17" s="1"/>
  <c r="X2053" i="16"/>
  <c r="X2290" i="16" s="1"/>
  <c r="Z2038" i="16"/>
  <c r="Z2034" i="16" s="1"/>
  <c r="AV26" i="18" s="1"/>
  <c r="AV26" i="5" s="1"/>
  <c r="Z546" i="4"/>
  <c r="Z189" i="4"/>
  <c r="Z287" i="16"/>
  <c r="Z816" i="16"/>
  <c r="Z353" i="16"/>
  <c r="AA1205" i="16"/>
  <c r="Z676" i="16"/>
  <c r="Z1289" i="16"/>
  <c r="Z1407" i="16" s="1"/>
  <c r="Z1403" i="16" s="1"/>
  <c r="AV21" i="18" s="1"/>
  <c r="AV21" i="5" s="1"/>
  <c r="Z1530" i="16"/>
  <c r="Z1597" i="16"/>
  <c r="Z556" i="16"/>
  <c r="Z439" i="16"/>
  <c r="Z374" i="16"/>
  <c r="Z355" i="4"/>
  <c r="Z1550" i="16"/>
  <c r="Z1546" i="16" s="1"/>
  <c r="AV23" i="18" s="1"/>
  <c r="AV23" i="5" s="1"/>
  <c r="Z1103" i="16"/>
  <c r="Z2286" i="16"/>
  <c r="Z2201" i="16"/>
  <c r="Z863" i="16"/>
  <c r="Z633" i="16"/>
  <c r="Z1742" i="16"/>
  <c r="Z2207" i="16"/>
  <c r="Z169" i="16"/>
  <c r="Z173" i="16"/>
  <c r="Z177" i="16" s="1"/>
  <c r="Z497" i="4"/>
  <c r="Z277" i="4"/>
  <c r="Z261" i="4"/>
  <c r="Z169" i="4"/>
  <c r="Z380" i="4"/>
  <c r="Z571" i="4"/>
  <c r="G47" i="19"/>
  <c r="H47" i="19"/>
  <c r="I47" i="19"/>
  <c r="J47" i="19"/>
  <c r="K47" i="19"/>
  <c r="F47" i="19"/>
  <c r="F46" i="19"/>
  <c r="G46" i="19"/>
  <c r="H46" i="19"/>
  <c r="I46" i="19"/>
  <c r="J46" i="19"/>
  <c r="K46" i="19"/>
  <c r="E47" i="5"/>
  <c r="AV18" i="5" l="1"/>
  <c r="Z2055" i="16"/>
  <c r="Z2292" i="16" s="1"/>
  <c r="S44" i="19"/>
  <c r="S50" i="19" s="1"/>
  <c r="S29" i="5"/>
  <c r="S22" i="5"/>
  <c r="AV34" i="5"/>
  <c r="AR44" i="18"/>
  <c r="AR20" i="5"/>
  <c r="Z1750" i="16"/>
  <c r="AV25" i="18" s="1"/>
  <c r="AV25" i="5" s="1"/>
  <c r="AQ50" i="18"/>
  <c r="AQ50" i="5" s="1"/>
  <c r="AQ44" i="5"/>
  <c r="AS20" i="5"/>
  <c r="AS44" i="18"/>
  <c r="AU20" i="5"/>
  <c r="AU44" i="18"/>
  <c r="Z524" i="4"/>
  <c r="Z528" i="4"/>
  <c r="S43" i="5"/>
  <c r="S42" i="18"/>
  <c r="S26" i="18"/>
  <c r="S25" i="5"/>
  <c r="S32" i="5"/>
  <c r="AV44" i="19"/>
  <c r="AV50" i="19" s="1"/>
  <c r="AT44" i="18"/>
  <c r="AT20" i="5"/>
  <c r="Z191" i="4"/>
  <c r="Z281" i="4" s="1"/>
  <c r="Z382" i="4"/>
  <c r="Z406" i="16"/>
  <c r="Z1242" i="16" s="1"/>
  <c r="Z1238" i="16" s="1"/>
  <c r="Z1754" i="16"/>
  <c r="F12" i="17"/>
  <c r="G12" i="17"/>
  <c r="H12" i="17"/>
  <c r="I12" i="17"/>
  <c r="J12" i="17"/>
  <c r="K12" i="17"/>
  <c r="F17" i="17"/>
  <c r="AU50" i="18" l="1"/>
  <c r="AU50" i="5" s="1"/>
  <c r="AU44" i="5"/>
  <c r="AS50" i="18"/>
  <c r="AS50" i="5" s="1"/>
  <c r="AS44" i="5"/>
  <c r="AR50" i="18"/>
  <c r="AR50" i="5" s="1"/>
  <c r="AR44" i="5"/>
  <c r="S26" i="5"/>
  <c r="S28" i="18"/>
  <c r="S28" i="5" s="1"/>
  <c r="S42" i="5"/>
  <c r="AT50" i="18"/>
  <c r="AT50" i="5" s="1"/>
  <c r="AT44" i="5"/>
  <c r="Z2053" i="16"/>
  <c r="Z2290" i="16" s="1"/>
  <c r="AV20" i="18"/>
  <c r="Z408" i="4"/>
  <c r="Z2057" i="16"/>
  <c r="Z2294" i="16" s="1"/>
  <c r="AL8" i="18"/>
  <c r="AM8" i="18"/>
  <c r="AK8" i="18"/>
  <c r="AJ8" i="19"/>
  <c r="AK8" i="19"/>
  <c r="AL8" i="19"/>
  <c r="AM8" i="19"/>
  <c r="AN8" i="19"/>
  <c r="AJ9" i="19"/>
  <c r="AK9" i="19"/>
  <c r="AL9" i="19"/>
  <c r="AM9" i="19"/>
  <c r="AN9" i="19"/>
  <c r="AJ10" i="19"/>
  <c r="AK10" i="19"/>
  <c r="AL10" i="19"/>
  <c r="AM10" i="19"/>
  <c r="AN10" i="19"/>
  <c r="AJ23" i="19"/>
  <c r="AK23" i="19"/>
  <c r="AL23" i="19"/>
  <c r="AM23" i="19"/>
  <c r="AN23" i="19"/>
  <c r="AO23" i="19"/>
  <c r="AP23" i="19"/>
  <c r="AJ8" i="18"/>
  <c r="AJ9" i="18"/>
  <c r="AK9" i="18"/>
  <c r="AL9" i="18"/>
  <c r="AM9" i="18"/>
  <c r="AN9" i="18"/>
  <c r="AJ10" i="18"/>
  <c r="AK10" i="18"/>
  <c r="AL10" i="18"/>
  <c r="AM10" i="18"/>
  <c r="AN10" i="18"/>
  <c r="AJ31" i="18"/>
  <c r="AK31" i="18"/>
  <c r="AL31" i="18"/>
  <c r="AM31" i="18"/>
  <c r="AN31" i="18"/>
  <c r="AJ46" i="18"/>
  <c r="AK46" i="18"/>
  <c r="AL46" i="18"/>
  <c r="AM46" i="18"/>
  <c r="AM46" i="5" s="1"/>
  <c r="AN46" i="18"/>
  <c r="AN46" i="5" s="1"/>
  <c r="AJ48" i="18"/>
  <c r="AK48" i="18"/>
  <c r="AL48" i="18"/>
  <c r="AM48" i="18"/>
  <c r="AM48" i="5" s="1"/>
  <c r="AN48" i="18"/>
  <c r="AN48" i="5" s="1"/>
  <c r="AJ8" i="17"/>
  <c r="AK8" i="17"/>
  <c r="AL8" i="17"/>
  <c r="AM8" i="17"/>
  <c r="AM18" i="17" s="1"/>
  <c r="AN8" i="17"/>
  <c r="AN18" i="17" s="1"/>
  <c r="J35" i="18"/>
  <c r="K35" i="18"/>
  <c r="I35" i="18"/>
  <c r="J33" i="18"/>
  <c r="K33" i="18"/>
  <c r="I33" i="18"/>
  <c r="J33" i="19"/>
  <c r="K33" i="19"/>
  <c r="I33" i="19"/>
  <c r="H30" i="18"/>
  <c r="H30" i="5" s="1"/>
  <c r="I30" i="18"/>
  <c r="I30" i="5" s="1"/>
  <c r="J30" i="18"/>
  <c r="J30" i="5" s="1"/>
  <c r="K30" i="18"/>
  <c r="K30" i="5" s="1"/>
  <c r="G30" i="18"/>
  <c r="F30" i="5"/>
  <c r="E30" i="5"/>
  <c r="F24" i="19"/>
  <c r="G24" i="19"/>
  <c r="H24" i="19"/>
  <c r="I24" i="19"/>
  <c r="J24" i="19"/>
  <c r="K24" i="19"/>
  <c r="G21" i="19"/>
  <c r="H21" i="19"/>
  <c r="I21" i="19"/>
  <c r="J21" i="19"/>
  <c r="K21" i="19"/>
  <c r="G33" i="19"/>
  <c r="H33" i="19"/>
  <c r="G35" i="19"/>
  <c r="H35" i="19"/>
  <c r="I35" i="19"/>
  <c r="J35" i="19"/>
  <c r="K35" i="19"/>
  <c r="G38" i="19"/>
  <c r="G38" i="5" s="1"/>
  <c r="H38" i="19"/>
  <c r="H38" i="5" s="1"/>
  <c r="I38" i="19"/>
  <c r="I38" i="5" s="1"/>
  <c r="J38" i="19"/>
  <c r="J38" i="5" s="1"/>
  <c r="K38" i="19"/>
  <c r="K38" i="5" s="1"/>
  <c r="L38" i="19"/>
  <c r="L42" i="19" s="1"/>
  <c r="M38" i="19"/>
  <c r="M38" i="5" s="1"/>
  <c r="G49" i="19"/>
  <c r="H49" i="19"/>
  <c r="I49" i="19"/>
  <c r="J49" i="19"/>
  <c r="K49" i="19"/>
  <c r="G20" i="18"/>
  <c r="H20" i="18"/>
  <c r="I20" i="18"/>
  <c r="J20" i="18"/>
  <c r="K20" i="18"/>
  <c r="G33" i="18"/>
  <c r="H33" i="18"/>
  <c r="G35" i="18"/>
  <c r="H35" i="18"/>
  <c r="G39" i="18"/>
  <c r="G39" i="5" s="1"/>
  <c r="H39" i="18"/>
  <c r="H39" i="5" s="1"/>
  <c r="G41" i="18"/>
  <c r="H41" i="18"/>
  <c r="G45" i="18"/>
  <c r="G45" i="5" s="1"/>
  <c r="H45" i="18"/>
  <c r="H45" i="5" s="1"/>
  <c r="I45" i="18"/>
  <c r="I45" i="5" s="1"/>
  <c r="J45" i="18"/>
  <c r="J45" i="5" s="1"/>
  <c r="K45" i="18"/>
  <c r="K45" i="5" s="1"/>
  <c r="G46" i="18"/>
  <c r="G46" i="5" s="1"/>
  <c r="H46" i="18"/>
  <c r="H46" i="5" s="1"/>
  <c r="I46" i="18"/>
  <c r="I46" i="5" s="1"/>
  <c r="J46" i="18"/>
  <c r="J46" i="5" s="1"/>
  <c r="K46" i="18"/>
  <c r="K46" i="5" s="1"/>
  <c r="G47" i="18"/>
  <c r="G47" i="5" s="1"/>
  <c r="H47" i="18"/>
  <c r="H47" i="5" s="1"/>
  <c r="I47" i="18"/>
  <c r="I47" i="5" s="1"/>
  <c r="J47" i="18"/>
  <c r="J47" i="5" s="1"/>
  <c r="K47" i="18"/>
  <c r="K47" i="5" s="1"/>
  <c r="G48" i="18"/>
  <c r="G48" i="5" s="1"/>
  <c r="H48" i="18"/>
  <c r="H48" i="5" s="1"/>
  <c r="I48" i="18"/>
  <c r="I48" i="5" s="1"/>
  <c r="J48" i="18"/>
  <c r="J48" i="5" s="1"/>
  <c r="K48" i="18"/>
  <c r="K48" i="5" s="1"/>
  <c r="F28" i="17"/>
  <c r="G28" i="17"/>
  <c r="H28" i="17"/>
  <c r="I28" i="17"/>
  <c r="J28" i="17"/>
  <c r="K28" i="17"/>
  <c r="L28" i="17"/>
  <c r="M28" i="17"/>
  <c r="F29" i="17"/>
  <c r="G29" i="17"/>
  <c r="H29" i="17"/>
  <c r="I29" i="17"/>
  <c r="J29" i="17"/>
  <c r="K29" i="17"/>
  <c r="F40" i="17"/>
  <c r="G40" i="17"/>
  <c r="G40" i="5" s="1"/>
  <c r="H40" i="17"/>
  <c r="H40" i="5" s="1"/>
  <c r="I40" i="17"/>
  <c r="I40" i="5" s="1"/>
  <c r="J40" i="17"/>
  <c r="J40" i="5" s="1"/>
  <c r="K40" i="17"/>
  <c r="K40" i="5" s="1"/>
  <c r="L40" i="17"/>
  <c r="L40" i="5" s="1"/>
  <c r="M40" i="17"/>
  <c r="M40" i="5" s="1"/>
  <c r="F11" i="18"/>
  <c r="G11" i="18"/>
  <c r="H11" i="18"/>
  <c r="I11" i="18"/>
  <c r="J11" i="18"/>
  <c r="K11" i="18"/>
  <c r="S44" i="18" l="1"/>
  <c r="S50" i="18" s="1"/>
  <c r="S50" i="5" s="1"/>
  <c r="Z404" i="4"/>
  <c r="Z575" i="4" s="1"/>
  <c r="Z579" i="4"/>
  <c r="AV44" i="18"/>
  <c r="AV20" i="5"/>
  <c r="AJ46" i="5"/>
  <c r="AL48" i="5"/>
  <c r="AK48" i="5"/>
  <c r="AL46" i="5"/>
  <c r="AJ48" i="5"/>
  <c r="AK46" i="5"/>
  <c r="AK18" i="17"/>
  <c r="AJ18" i="17"/>
  <c r="AL18" i="17"/>
  <c r="K42" i="19"/>
  <c r="AM18" i="19"/>
  <c r="AJ18" i="19"/>
  <c r="AN18" i="19"/>
  <c r="G42" i="18"/>
  <c r="L38" i="5"/>
  <c r="H42" i="19"/>
  <c r="AK10" i="5"/>
  <c r="AM10" i="5"/>
  <c r="AN9" i="5"/>
  <c r="AJ9" i="5"/>
  <c r="AN49" i="18"/>
  <c r="AN49" i="5" s="1"/>
  <c r="AM9" i="5"/>
  <c r="AJ49" i="18"/>
  <c r="AJ18" i="18"/>
  <c r="AJ10" i="5"/>
  <c r="AL18" i="19"/>
  <c r="AK18" i="19"/>
  <c r="G42" i="19"/>
  <c r="I42" i="19"/>
  <c r="AN10" i="5"/>
  <c r="AK49" i="18"/>
  <c r="AM49" i="18"/>
  <c r="AM49" i="5" s="1"/>
  <c r="AL18" i="18"/>
  <c r="AL10" i="5"/>
  <c r="AL49" i="18"/>
  <c r="AL9" i="5"/>
  <c r="AJ8" i="5"/>
  <c r="AM8" i="5"/>
  <c r="AK9" i="5"/>
  <c r="AL8" i="5"/>
  <c r="AM18" i="18"/>
  <c r="AK8" i="5"/>
  <c r="G41" i="5"/>
  <c r="G42" i="5" s="1"/>
  <c r="G35" i="5"/>
  <c r="J35" i="5"/>
  <c r="M42" i="19"/>
  <c r="K33" i="5"/>
  <c r="J42" i="19"/>
  <c r="H33" i="5"/>
  <c r="K37" i="19"/>
  <c r="K35" i="5"/>
  <c r="H37" i="19"/>
  <c r="G37" i="19"/>
  <c r="I35" i="5"/>
  <c r="G33" i="5"/>
  <c r="H49" i="18"/>
  <c r="H49" i="5" s="1"/>
  <c r="I49" i="18"/>
  <c r="I49" i="5" s="1"/>
  <c r="H35" i="5"/>
  <c r="K49" i="18"/>
  <c r="K49" i="5" s="1"/>
  <c r="G49" i="18"/>
  <c r="G49" i="5" s="1"/>
  <c r="H42" i="18"/>
  <c r="I37" i="19"/>
  <c r="J49" i="18"/>
  <c r="J49" i="5" s="1"/>
  <c r="AK18" i="18"/>
  <c r="J33" i="5"/>
  <c r="J37" i="19"/>
  <c r="I33" i="5"/>
  <c r="G30" i="5"/>
  <c r="H41" i="5"/>
  <c r="H42" i="5" s="1"/>
  <c r="S44" i="5" l="1"/>
  <c r="AV50" i="18"/>
  <c r="AV50" i="5" s="1"/>
  <c r="AV44" i="5"/>
  <c r="AL49" i="5"/>
  <c r="AK49" i="5"/>
  <c r="AJ49" i="5"/>
  <c r="AJ18" i="5"/>
  <c r="AM18" i="5"/>
  <c r="AL18" i="5"/>
  <c r="AK18" i="5"/>
  <c r="K15" i="18" l="1"/>
  <c r="K15" i="5" s="1"/>
  <c r="F15" i="18"/>
  <c r="F15" i="5" s="1"/>
  <c r="G15" i="18"/>
  <c r="G15" i="5" s="1"/>
  <c r="H15" i="18"/>
  <c r="H15" i="5" s="1"/>
  <c r="I15" i="18"/>
  <c r="I15" i="5" s="1"/>
  <c r="J15" i="18"/>
  <c r="J15" i="5" s="1"/>
  <c r="G8" i="19"/>
  <c r="H8" i="19"/>
  <c r="I8" i="19"/>
  <c r="J8" i="19"/>
  <c r="K8" i="19"/>
  <c r="G11" i="19"/>
  <c r="G11" i="5" s="1"/>
  <c r="H11" i="19"/>
  <c r="H11" i="5" s="1"/>
  <c r="I11" i="19"/>
  <c r="I11" i="5" s="1"/>
  <c r="J11" i="19"/>
  <c r="J11" i="5" s="1"/>
  <c r="K11" i="19"/>
  <c r="K11" i="5" s="1"/>
  <c r="G13" i="19"/>
  <c r="H13" i="19"/>
  <c r="I13" i="19"/>
  <c r="J13" i="19"/>
  <c r="K13" i="19"/>
  <c r="G17" i="19"/>
  <c r="H17" i="19"/>
  <c r="I17" i="19"/>
  <c r="J17" i="19"/>
  <c r="K17" i="19"/>
  <c r="G17" i="18"/>
  <c r="H17" i="18"/>
  <c r="I17" i="18"/>
  <c r="J17" i="18"/>
  <c r="K17" i="18"/>
  <c r="F8" i="18"/>
  <c r="G8" i="18"/>
  <c r="H8" i="18"/>
  <c r="I8" i="18"/>
  <c r="J8" i="18"/>
  <c r="F9" i="18"/>
  <c r="G9" i="18"/>
  <c r="G9" i="5" s="1"/>
  <c r="H9" i="18"/>
  <c r="H9" i="5" s="1"/>
  <c r="I9" i="18"/>
  <c r="I9" i="5" s="1"/>
  <c r="J9" i="18"/>
  <c r="J9" i="5" s="1"/>
  <c r="F10" i="18"/>
  <c r="G10" i="18"/>
  <c r="G10" i="5" s="1"/>
  <c r="H10" i="18"/>
  <c r="H10" i="5" s="1"/>
  <c r="I10" i="18"/>
  <c r="I10" i="5" s="1"/>
  <c r="J10" i="18"/>
  <c r="J10" i="5" s="1"/>
  <c r="F13" i="18"/>
  <c r="G13" i="18"/>
  <c r="H13" i="18"/>
  <c r="I13" i="18"/>
  <c r="J13" i="18"/>
  <c r="F14" i="18"/>
  <c r="G14" i="18"/>
  <c r="G14" i="5" s="1"/>
  <c r="H14" i="18"/>
  <c r="H14" i="5" s="1"/>
  <c r="I14" i="18"/>
  <c r="I14" i="5" s="1"/>
  <c r="J14" i="18"/>
  <c r="J14" i="5" s="1"/>
  <c r="F16" i="18"/>
  <c r="G16" i="18"/>
  <c r="G16" i="5" s="1"/>
  <c r="H16" i="18"/>
  <c r="H16" i="5" s="1"/>
  <c r="I16" i="18"/>
  <c r="I16" i="5" s="1"/>
  <c r="J16" i="18"/>
  <c r="J16" i="5" s="1"/>
  <c r="Q1906" i="16"/>
  <c r="R1906" i="16"/>
  <c r="P1906" i="16"/>
  <c r="K16" i="18"/>
  <c r="K16" i="5" s="1"/>
  <c r="K10" i="18"/>
  <c r="K10" i="5" s="1"/>
  <c r="AF10" i="18"/>
  <c r="AG10" i="18"/>
  <c r="K9" i="18"/>
  <c r="K9" i="5" s="1"/>
  <c r="K13" i="18"/>
  <c r="K14" i="18"/>
  <c r="K14" i="5" s="1"/>
  <c r="F18" i="17"/>
  <c r="G12" i="5"/>
  <c r="H12" i="5"/>
  <c r="I12" i="5"/>
  <c r="H8" i="5" l="1"/>
  <c r="H18" i="19"/>
  <c r="H13" i="5"/>
  <c r="J18" i="19"/>
  <c r="G18" i="19"/>
  <c r="G8" i="5"/>
  <c r="I8" i="5"/>
  <c r="H17" i="5"/>
  <c r="I18" i="19"/>
  <c r="G13" i="5"/>
  <c r="I17" i="5"/>
  <c r="K18" i="19"/>
  <c r="G18" i="17"/>
  <c r="K13" i="5"/>
  <c r="I13" i="5"/>
  <c r="K17" i="5"/>
  <c r="G17" i="5"/>
  <c r="J17" i="5"/>
  <c r="I18" i="17"/>
  <c r="J8" i="5"/>
  <c r="J13" i="5"/>
  <c r="K18" i="17"/>
  <c r="K12" i="5"/>
  <c r="H18" i="17"/>
  <c r="J18" i="17"/>
  <c r="J12" i="5"/>
  <c r="G18" i="18"/>
  <c r="I18" i="18"/>
  <c r="J18" i="18"/>
  <c r="H18" i="18"/>
  <c r="M2284" i="16"/>
  <c r="N2284" i="16"/>
  <c r="AJ36" i="18" s="1"/>
  <c r="O2284" i="16"/>
  <c r="AK36" i="18" s="1"/>
  <c r="P2284" i="16"/>
  <c r="AL36" i="18" s="1"/>
  <c r="Q2284" i="16"/>
  <c r="AM36" i="18" s="1"/>
  <c r="AM36" i="5" s="1"/>
  <c r="R2284" i="16"/>
  <c r="AN36" i="18" s="1"/>
  <c r="AN36" i="5" s="1"/>
  <c r="Q526" i="4"/>
  <c r="R526" i="4"/>
  <c r="AJ36" i="5" l="1"/>
  <c r="AL36" i="5"/>
  <c r="AK36" i="5"/>
  <c r="H18" i="5"/>
  <c r="G18" i="5"/>
  <c r="I18" i="5"/>
  <c r="J18" i="5"/>
  <c r="AN44" i="17"/>
  <c r="AK44" i="17"/>
  <c r="AL44" i="17"/>
  <c r="AM44" i="17"/>
  <c r="AM50" i="17" s="1"/>
  <c r="AK50" i="17" l="1"/>
  <c r="AL50" i="17"/>
  <c r="AN50" i="17"/>
  <c r="AJ44" i="17"/>
  <c r="M569" i="4"/>
  <c r="N569" i="4"/>
  <c r="O569" i="4"/>
  <c r="P569" i="4"/>
  <c r="Q569" i="4"/>
  <c r="R569" i="4"/>
  <c r="S555" i="4"/>
  <c r="S558" i="4"/>
  <c r="P544" i="4"/>
  <c r="I43" i="19" s="1"/>
  <c r="Q544" i="4"/>
  <c r="J43" i="19" s="1"/>
  <c r="R544" i="4"/>
  <c r="K43" i="19" s="1"/>
  <c r="O544" i="4"/>
  <c r="H43" i="19" s="1"/>
  <c r="S536" i="4"/>
  <c r="T536" i="4" s="1"/>
  <c r="AA536" i="4" s="1"/>
  <c r="AH536" i="4" s="1"/>
  <c r="Q459" i="4"/>
  <c r="J34" i="18" s="1"/>
  <c r="R459" i="4"/>
  <c r="K34" i="18" s="1"/>
  <c r="P459" i="4"/>
  <c r="I34" i="18" s="1"/>
  <c r="M526" i="4"/>
  <c r="N526" i="4"/>
  <c r="O526" i="4"/>
  <c r="P526" i="4"/>
  <c r="N520" i="4"/>
  <c r="O520" i="4"/>
  <c r="Q518" i="4"/>
  <c r="R518" i="4"/>
  <c r="K41" i="18" s="1"/>
  <c r="K41" i="5" s="1"/>
  <c r="S515" i="4"/>
  <c r="T515" i="4" s="1"/>
  <c r="P518" i="4"/>
  <c r="Q508" i="4"/>
  <c r="J39" i="18" s="1"/>
  <c r="R508" i="4"/>
  <c r="S504" i="4"/>
  <c r="S508" i="4" s="1"/>
  <c r="L39" i="18" s="1"/>
  <c r="P508" i="4"/>
  <c r="I39" i="18" s="1"/>
  <c r="I39" i="5" s="1"/>
  <c r="S484" i="4"/>
  <c r="T484" i="4" s="1"/>
  <c r="AA484" i="4" s="1"/>
  <c r="AH484" i="4" s="1"/>
  <c r="S448" i="4"/>
  <c r="T448" i="4" s="1"/>
  <c r="AA448" i="4" s="1"/>
  <c r="AH448" i="4" s="1"/>
  <c r="S449" i="4"/>
  <c r="T449" i="4" s="1"/>
  <c r="AA449" i="4" s="1"/>
  <c r="AH449" i="4" s="1"/>
  <c r="S450" i="4"/>
  <c r="T450" i="4" s="1"/>
  <c r="AA450" i="4" s="1"/>
  <c r="AH450" i="4" s="1"/>
  <c r="S451" i="4"/>
  <c r="S452" i="4"/>
  <c r="T452" i="4" s="1"/>
  <c r="AA452" i="4" s="1"/>
  <c r="AH452" i="4" s="1"/>
  <c r="S453" i="4"/>
  <c r="T453" i="4" s="1"/>
  <c r="AA453" i="4" s="1"/>
  <c r="AH453" i="4" s="1"/>
  <c r="M459" i="4"/>
  <c r="N459" i="4"/>
  <c r="G34" i="18" s="1"/>
  <c r="O459" i="4"/>
  <c r="H34" i="18" s="1"/>
  <c r="S436" i="4"/>
  <c r="T436" i="4" s="1"/>
  <c r="AA436" i="4" s="1"/>
  <c r="AH436" i="4" s="1"/>
  <c r="S437" i="4"/>
  <c r="T437" i="4" s="1"/>
  <c r="AA437" i="4" s="1"/>
  <c r="AH437" i="4" s="1"/>
  <c r="O392" i="4"/>
  <c r="P392" i="4"/>
  <c r="Q392" i="4"/>
  <c r="R392" i="4"/>
  <c r="N392" i="4"/>
  <c r="S386" i="4"/>
  <c r="R378" i="4"/>
  <c r="Q378" i="4"/>
  <c r="P378" i="4"/>
  <c r="O378" i="4"/>
  <c r="N378" i="4"/>
  <c r="M378" i="4"/>
  <c r="L378" i="4"/>
  <c r="S376" i="4"/>
  <c r="S378" i="4" s="1"/>
  <c r="S363" i="4"/>
  <c r="T363" i="4" s="1"/>
  <c r="AA363" i="4" s="1"/>
  <c r="AH363" i="4" s="1"/>
  <c r="R353" i="4"/>
  <c r="Q353" i="4"/>
  <c r="P353" i="4"/>
  <c r="O353" i="4"/>
  <c r="N353" i="4"/>
  <c r="M353" i="4"/>
  <c r="L353" i="4"/>
  <c r="J353" i="4"/>
  <c r="S351" i="4"/>
  <c r="S353" i="4" s="1"/>
  <c r="R348" i="4"/>
  <c r="Q348" i="4"/>
  <c r="P348" i="4"/>
  <c r="O348" i="4"/>
  <c r="N348" i="4"/>
  <c r="M348" i="4"/>
  <c r="J348" i="4"/>
  <c r="S346" i="4"/>
  <c r="S348" i="4" s="1"/>
  <c r="L348" i="4"/>
  <c r="S289" i="4"/>
  <c r="T289" i="4" s="1"/>
  <c r="AA289" i="4" s="1"/>
  <c r="AH289" i="4" s="1"/>
  <c r="M291" i="4"/>
  <c r="N291" i="4"/>
  <c r="O291" i="4"/>
  <c r="P291" i="4"/>
  <c r="Q291" i="4"/>
  <c r="R291" i="4"/>
  <c r="N279" i="4"/>
  <c r="O279" i="4"/>
  <c r="P279" i="4"/>
  <c r="Q279" i="4"/>
  <c r="R279" i="4"/>
  <c r="S269" i="4"/>
  <c r="T269" i="4" s="1"/>
  <c r="AA269" i="4" s="1"/>
  <c r="AH269" i="4" s="1"/>
  <c r="S255" i="4"/>
  <c r="T255" i="4" s="1"/>
  <c r="AA255" i="4" s="1"/>
  <c r="AH255" i="4" s="1"/>
  <c r="S256" i="4"/>
  <c r="T256" i="4" s="1"/>
  <c r="AA256" i="4" s="1"/>
  <c r="AH256" i="4" s="1"/>
  <c r="S257" i="4"/>
  <c r="T257" i="4" s="1"/>
  <c r="AA257" i="4" s="1"/>
  <c r="AH257" i="4" s="1"/>
  <c r="S253" i="4"/>
  <c r="T253" i="4" s="1"/>
  <c r="AA253" i="4" s="1"/>
  <c r="AH253" i="4" s="1"/>
  <c r="N565" i="4"/>
  <c r="O565" i="4"/>
  <c r="P565" i="4"/>
  <c r="Q565" i="4"/>
  <c r="R565" i="4"/>
  <c r="N567" i="4"/>
  <c r="O567" i="4"/>
  <c r="P567" i="4"/>
  <c r="Q567" i="4"/>
  <c r="R567" i="4"/>
  <c r="N560" i="4"/>
  <c r="O560" i="4"/>
  <c r="P560" i="4"/>
  <c r="Q560" i="4"/>
  <c r="R560" i="4"/>
  <c r="N552" i="4"/>
  <c r="O552" i="4"/>
  <c r="P552" i="4"/>
  <c r="Q552" i="4"/>
  <c r="R552" i="4"/>
  <c r="N538" i="4"/>
  <c r="O538" i="4"/>
  <c r="P538" i="4"/>
  <c r="Q538" i="4"/>
  <c r="R538" i="4"/>
  <c r="N542" i="4"/>
  <c r="G43" i="18" s="1"/>
  <c r="O542" i="4"/>
  <c r="H43" i="18" s="1"/>
  <c r="P542" i="4"/>
  <c r="I43" i="18" s="1"/>
  <c r="Q542" i="4"/>
  <c r="J43" i="18" s="1"/>
  <c r="R542" i="4"/>
  <c r="K43" i="18" s="1"/>
  <c r="N544" i="4"/>
  <c r="M495" i="4"/>
  <c r="N495" i="4"/>
  <c r="G36" i="18" s="1"/>
  <c r="G36" i="5" s="1"/>
  <c r="O495" i="4"/>
  <c r="H36" i="18" s="1"/>
  <c r="H36" i="5" s="1"/>
  <c r="P495" i="4"/>
  <c r="I36" i="18" s="1"/>
  <c r="I36" i="5" s="1"/>
  <c r="Q495" i="4"/>
  <c r="J36" i="18" s="1"/>
  <c r="J36" i="5" s="1"/>
  <c r="R495" i="4"/>
  <c r="K36" i="18" s="1"/>
  <c r="K36" i="5" s="1"/>
  <c r="M487" i="4"/>
  <c r="N487" i="4"/>
  <c r="O487" i="4"/>
  <c r="P487" i="4"/>
  <c r="Q487" i="4"/>
  <c r="R487" i="4"/>
  <c r="M440" i="4"/>
  <c r="N440" i="4"/>
  <c r="O440" i="4"/>
  <c r="P440" i="4"/>
  <c r="Q440" i="4"/>
  <c r="R440" i="4"/>
  <c r="M402" i="4"/>
  <c r="F32" i="17" s="1"/>
  <c r="F44" i="17" s="1"/>
  <c r="F50" i="17" s="1"/>
  <c r="N402" i="4"/>
  <c r="G32" i="17" s="1"/>
  <c r="O402" i="4"/>
  <c r="H32" i="17" s="1"/>
  <c r="H44" i="17" s="1"/>
  <c r="P402" i="4"/>
  <c r="I32" i="17" s="1"/>
  <c r="I44" i="17" s="1"/>
  <c r="Q402" i="4"/>
  <c r="J32" i="17" s="1"/>
  <c r="J44" i="17" s="1"/>
  <c r="R402" i="4"/>
  <c r="K32" i="17" s="1"/>
  <c r="K44" i="17" s="1"/>
  <c r="M373" i="4"/>
  <c r="M392" i="4" s="1"/>
  <c r="N373" i="4"/>
  <c r="O373" i="4"/>
  <c r="P373" i="4"/>
  <c r="Q373" i="4"/>
  <c r="R373" i="4"/>
  <c r="M365" i="4"/>
  <c r="N365" i="4"/>
  <c r="O365" i="4"/>
  <c r="P365" i="4"/>
  <c r="Q365" i="4"/>
  <c r="R365" i="4"/>
  <c r="M343" i="4"/>
  <c r="N343" i="4"/>
  <c r="O343" i="4"/>
  <c r="P343" i="4"/>
  <c r="Q343" i="4"/>
  <c r="R343" i="4"/>
  <c r="M337" i="4"/>
  <c r="N337" i="4"/>
  <c r="O337" i="4"/>
  <c r="P337" i="4"/>
  <c r="Q337" i="4"/>
  <c r="R337" i="4"/>
  <c r="M330" i="4"/>
  <c r="N330" i="4"/>
  <c r="O330" i="4"/>
  <c r="P330" i="4"/>
  <c r="Q330" i="4"/>
  <c r="R330" i="4"/>
  <c r="M324" i="4"/>
  <c r="N324" i="4"/>
  <c r="O324" i="4"/>
  <c r="P324" i="4"/>
  <c r="Q324" i="4"/>
  <c r="R324" i="4"/>
  <c r="S313" i="4"/>
  <c r="M307" i="4"/>
  <c r="N307" i="4"/>
  <c r="O307" i="4"/>
  <c r="P307" i="4"/>
  <c r="Q307" i="4"/>
  <c r="R307" i="4"/>
  <c r="M302" i="4"/>
  <c r="N302" i="4"/>
  <c r="O302" i="4"/>
  <c r="P302" i="4"/>
  <c r="Q302" i="4"/>
  <c r="R302" i="4"/>
  <c r="M297" i="4"/>
  <c r="N297" i="4"/>
  <c r="O297" i="4"/>
  <c r="P297" i="4"/>
  <c r="Q297" i="4"/>
  <c r="R297" i="4"/>
  <c r="M271" i="4"/>
  <c r="M273" i="4" s="1"/>
  <c r="N271" i="4"/>
  <c r="G25" i="18" s="1"/>
  <c r="O271" i="4"/>
  <c r="P271" i="4"/>
  <c r="Q271" i="4"/>
  <c r="R271" i="4"/>
  <c r="K25" i="18" s="1"/>
  <c r="M259" i="4"/>
  <c r="M279" i="4" s="1"/>
  <c r="N259" i="4"/>
  <c r="O259" i="4"/>
  <c r="P259" i="4"/>
  <c r="Q259" i="4"/>
  <c r="R259" i="4"/>
  <c r="M249" i="4"/>
  <c r="N249" i="4"/>
  <c r="O249" i="4"/>
  <c r="P249" i="4"/>
  <c r="Q249" i="4"/>
  <c r="R249" i="4"/>
  <c r="M242" i="4"/>
  <c r="N242" i="4"/>
  <c r="O242" i="4"/>
  <c r="P242" i="4"/>
  <c r="Q242" i="4"/>
  <c r="R242" i="4"/>
  <c r="M235" i="4"/>
  <c r="N235" i="4"/>
  <c r="O235" i="4"/>
  <c r="P235" i="4"/>
  <c r="Q235" i="4"/>
  <c r="R235" i="4"/>
  <c r="M213" i="4"/>
  <c r="N213" i="4"/>
  <c r="O213" i="4"/>
  <c r="P213" i="4"/>
  <c r="Q213" i="4"/>
  <c r="R213" i="4"/>
  <c r="M207" i="4"/>
  <c r="N207" i="4"/>
  <c r="O207" i="4"/>
  <c r="P207" i="4"/>
  <c r="Q207" i="4"/>
  <c r="R207" i="4"/>
  <c r="M198" i="4"/>
  <c r="N198" i="4"/>
  <c r="O198" i="4"/>
  <c r="P198" i="4"/>
  <c r="Q198" i="4"/>
  <c r="R198" i="4"/>
  <c r="M187" i="4"/>
  <c r="N187" i="4"/>
  <c r="G21" i="18" s="1"/>
  <c r="O187" i="4"/>
  <c r="H21" i="18" s="1"/>
  <c r="P187" i="4"/>
  <c r="I21" i="18" s="1"/>
  <c r="Q187" i="4"/>
  <c r="J21" i="18" s="1"/>
  <c r="R187" i="4"/>
  <c r="K21" i="18" s="1"/>
  <c r="M180" i="4"/>
  <c r="N180" i="4"/>
  <c r="O180" i="4"/>
  <c r="P180" i="4"/>
  <c r="Q180" i="4"/>
  <c r="R180" i="4"/>
  <c r="M167" i="4"/>
  <c r="N167" i="4"/>
  <c r="O167" i="4"/>
  <c r="P167" i="4"/>
  <c r="Q167" i="4"/>
  <c r="R167" i="4"/>
  <c r="M162" i="4"/>
  <c r="N162" i="4"/>
  <c r="O162" i="4"/>
  <c r="P162" i="4"/>
  <c r="Q162" i="4"/>
  <c r="R162" i="4"/>
  <c r="M157" i="4"/>
  <c r="N157" i="4"/>
  <c r="O157" i="4"/>
  <c r="P157" i="4"/>
  <c r="Q157" i="4"/>
  <c r="R157" i="4"/>
  <c r="S562" i="4"/>
  <c r="S557" i="4"/>
  <c r="S556" i="4"/>
  <c r="L46" i="19" s="1"/>
  <c r="S550" i="4"/>
  <c r="L45" i="18" s="1"/>
  <c r="S535" i="4"/>
  <c r="S544" i="4" s="1"/>
  <c r="L43" i="19" s="1"/>
  <c r="S534" i="4"/>
  <c r="S493" i="4"/>
  <c r="S492" i="4"/>
  <c r="S491" i="4"/>
  <c r="S490" i="4"/>
  <c r="S483" i="4"/>
  <c r="S482" i="4"/>
  <c r="S481" i="4"/>
  <c r="S480" i="4"/>
  <c r="S479" i="4"/>
  <c r="S478" i="4"/>
  <c r="S477" i="4"/>
  <c r="S476" i="4"/>
  <c r="S475" i="4"/>
  <c r="S474" i="4"/>
  <c r="S473" i="4"/>
  <c r="S472" i="4"/>
  <c r="S471" i="4"/>
  <c r="S470" i="4"/>
  <c r="S469" i="4"/>
  <c r="S468" i="4"/>
  <c r="S467" i="4"/>
  <c r="S466" i="4"/>
  <c r="S465" i="4"/>
  <c r="S464" i="4"/>
  <c r="S463" i="4"/>
  <c r="S462" i="4"/>
  <c r="S447" i="4"/>
  <c r="S446" i="4"/>
  <c r="S445" i="4"/>
  <c r="S444" i="4"/>
  <c r="S443" i="4"/>
  <c r="S435" i="4"/>
  <c r="S434" i="4"/>
  <c r="S433" i="4"/>
  <c r="S432" i="4"/>
  <c r="S431" i="4"/>
  <c r="S430" i="4"/>
  <c r="S429" i="4"/>
  <c r="S428" i="4"/>
  <c r="S427" i="4"/>
  <c r="S426" i="4"/>
  <c r="S425" i="4"/>
  <c r="S424" i="4"/>
  <c r="S423" i="4"/>
  <c r="S422" i="4"/>
  <c r="S421" i="4"/>
  <c r="S420" i="4"/>
  <c r="S419" i="4"/>
  <c r="S418" i="4"/>
  <c r="S417" i="4"/>
  <c r="S416" i="4"/>
  <c r="S415" i="4"/>
  <c r="S414" i="4"/>
  <c r="S413" i="4"/>
  <c r="S371" i="4"/>
  <c r="S370" i="4"/>
  <c r="S369" i="4"/>
  <c r="S368" i="4"/>
  <c r="S362" i="4"/>
  <c r="S361" i="4"/>
  <c r="S360" i="4"/>
  <c r="S359" i="4"/>
  <c r="S340" i="4"/>
  <c r="S335" i="4"/>
  <c r="S334" i="4"/>
  <c r="S333" i="4"/>
  <c r="S328" i="4"/>
  <c r="S327" i="4"/>
  <c r="S321" i="4"/>
  <c r="S320" i="4"/>
  <c r="S319" i="4"/>
  <c r="S318" i="4"/>
  <c r="S317" i="4"/>
  <c r="S316" i="4"/>
  <c r="S315" i="4"/>
  <c r="S314" i="4"/>
  <c r="S305" i="4"/>
  <c r="S307" i="4" s="1"/>
  <c r="S300" i="4"/>
  <c r="S295" i="4"/>
  <c r="S288" i="4"/>
  <c r="S287" i="4"/>
  <c r="S268" i="4"/>
  <c r="S267" i="4"/>
  <c r="S266" i="4"/>
  <c r="S265" i="4"/>
  <c r="S254" i="4"/>
  <c r="S252" i="4"/>
  <c r="S247" i="4"/>
  <c r="S246" i="4"/>
  <c r="S245" i="4"/>
  <c r="S240" i="4"/>
  <c r="S239" i="4"/>
  <c r="S238" i="4"/>
  <c r="S232" i="4"/>
  <c r="S231" i="4"/>
  <c r="S230" i="4"/>
  <c r="S229" i="4"/>
  <c r="S228" i="4"/>
  <c r="S227" i="4"/>
  <c r="S226" i="4"/>
  <c r="S225" i="4"/>
  <c r="S224" i="4"/>
  <c r="S223" i="4"/>
  <c r="S222" i="4"/>
  <c r="S221" i="4"/>
  <c r="S220" i="4"/>
  <c r="S219" i="4"/>
  <c r="S218" i="4"/>
  <c r="S217" i="4"/>
  <c r="S216" i="4"/>
  <c r="S210" i="4"/>
  <c r="S213" i="4" s="1"/>
  <c r="S204" i="4"/>
  <c r="S203" i="4"/>
  <c r="S202" i="4"/>
  <c r="S201" i="4"/>
  <c r="S195" i="4"/>
  <c r="S198" i="4" s="1"/>
  <c r="S184" i="4"/>
  <c r="S183" i="4"/>
  <c r="S176" i="4"/>
  <c r="S175" i="4"/>
  <c r="S174" i="4"/>
  <c r="S173" i="4"/>
  <c r="S165" i="4"/>
  <c r="S160" i="4"/>
  <c r="S162" i="4" s="1"/>
  <c r="S155" i="4"/>
  <c r="M152" i="4"/>
  <c r="N152" i="4"/>
  <c r="O152" i="4"/>
  <c r="P152" i="4"/>
  <c r="Q152" i="4"/>
  <c r="R152" i="4"/>
  <c r="S150" i="4"/>
  <c r="S149" i="4"/>
  <c r="M146" i="4"/>
  <c r="N146" i="4"/>
  <c r="O146" i="4"/>
  <c r="P146" i="4"/>
  <c r="Q146" i="4"/>
  <c r="R146" i="4"/>
  <c r="S144" i="4"/>
  <c r="S143" i="4"/>
  <c r="O861" i="16"/>
  <c r="P861" i="16"/>
  <c r="Q861" i="16"/>
  <c r="R861" i="16"/>
  <c r="S859" i="16"/>
  <c r="T859" i="16" s="1"/>
  <c r="R2282" i="16"/>
  <c r="Q2282" i="16"/>
  <c r="P2282" i="16"/>
  <c r="O2282" i="16"/>
  <c r="N2282" i="16"/>
  <c r="M2282" i="16"/>
  <c r="L2282" i="16"/>
  <c r="K2282" i="16"/>
  <c r="J2282" i="16"/>
  <c r="S2280" i="16"/>
  <c r="T2280" i="16" s="1"/>
  <c r="AA2280" i="16" s="1"/>
  <c r="AH2280" i="16" s="1"/>
  <c r="AH2282" i="16" s="1"/>
  <c r="AJ2282" i="16" s="1"/>
  <c r="R103" i="4"/>
  <c r="K8" i="18" s="1"/>
  <c r="R134" i="16"/>
  <c r="AN8" i="18" s="1"/>
  <c r="AA2282" i="16" l="1"/>
  <c r="T861" i="16"/>
  <c r="AA859" i="16"/>
  <c r="AH859" i="16" s="1"/>
  <c r="T518" i="4"/>
  <c r="M41" i="18" s="1"/>
  <c r="M41" i="5" s="1"/>
  <c r="AA515" i="4"/>
  <c r="AN18" i="18"/>
  <c r="AN8" i="5"/>
  <c r="AJ50" i="17"/>
  <c r="T451" i="4"/>
  <c r="L34" i="19"/>
  <c r="K43" i="5"/>
  <c r="T504" i="4"/>
  <c r="R571" i="4"/>
  <c r="N571" i="4"/>
  <c r="H24" i="18"/>
  <c r="H24" i="5" s="1"/>
  <c r="L21" i="19"/>
  <c r="K24" i="18"/>
  <c r="K24" i="5" s="1"/>
  <c r="S459" i="4"/>
  <c r="H20" i="19"/>
  <c r="H22" i="19" s="1"/>
  <c r="H28" i="19" s="1"/>
  <c r="H44" i="19" s="1"/>
  <c r="H50" i="19" s="1"/>
  <c r="J24" i="18"/>
  <c r="J24" i="5" s="1"/>
  <c r="H29" i="18"/>
  <c r="H32" i="18" s="1"/>
  <c r="H32" i="5" s="1"/>
  <c r="N380" i="4"/>
  <c r="T558" i="4"/>
  <c r="AA558" i="4" s="1"/>
  <c r="L47" i="19"/>
  <c r="L49" i="19" s="1"/>
  <c r="S569" i="4"/>
  <c r="H22" i="18"/>
  <c r="H21" i="5"/>
  <c r="K26" i="18"/>
  <c r="K25" i="5"/>
  <c r="L24" i="19"/>
  <c r="L33" i="18"/>
  <c r="L35" i="18"/>
  <c r="L45" i="5"/>
  <c r="K20" i="19"/>
  <c r="G20" i="19"/>
  <c r="K21" i="5"/>
  <c r="K22" i="18"/>
  <c r="G22" i="18"/>
  <c r="G21" i="5"/>
  <c r="I24" i="18"/>
  <c r="I24" i="5" s="1"/>
  <c r="Q273" i="4"/>
  <c r="J25" i="18"/>
  <c r="K29" i="18"/>
  <c r="G29" i="18"/>
  <c r="I50" i="17"/>
  <c r="G34" i="5"/>
  <c r="G37" i="5" s="1"/>
  <c r="G37" i="18"/>
  <c r="K34" i="5"/>
  <c r="K37" i="5" s="1"/>
  <c r="K37" i="18"/>
  <c r="L46" i="18"/>
  <c r="L46" i="5" s="1"/>
  <c r="S565" i="4"/>
  <c r="L48" i="18"/>
  <c r="L48" i="5" s="1"/>
  <c r="H34" i="5"/>
  <c r="H37" i="5" s="1"/>
  <c r="H37" i="18"/>
  <c r="P520" i="4"/>
  <c r="I41" i="18"/>
  <c r="L20" i="18"/>
  <c r="S402" i="4"/>
  <c r="L32" i="17" s="1"/>
  <c r="L29" i="17"/>
  <c r="L33" i="19"/>
  <c r="L35" i="19"/>
  <c r="S526" i="4"/>
  <c r="J20" i="19"/>
  <c r="J22" i="18"/>
  <c r="J21" i="5"/>
  <c r="P273" i="4"/>
  <c r="I25" i="18"/>
  <c r="O309" i="4"/>
  <c r="J29" i="18"/>
  <c r="H50" i="17"/>
  <c r="O546" i="4"/>
  <c r="J43" i="5"/>
  <c r="R520" i="4"/>
  <c r="K39" i="18"/>
  <c r="J34" i="5"/>
  <c r="J37" i="5" s="1"/>
  <c r="J37" i="18"/>
  <c r="G26" i="18"/>
  <c r="G25" i="5"/>
  <c r="J50" i="17"/>
  <c r="H43" i="5"/>
  <c r="Q520" i="4"/>
  <c r="J41" i="18"/>
  <c r="J41" i="5" s="1"/>
  <c r="K18" i="18"/>
  <c r="K8" i="5"/>
  <c r="K18" i="5" s="1"/>
  <c r="T557" i="4"/>
  <c r="AA557" i="4" s="1"/>
  <c r="L47" i="18"/>
  <c r="I20" i="19"/>
  <c r="I22" i="18"/>
  <c r="I21" i="5"/>
  <c r="G24" i="18"/>
  <c r="G24" i="5" s="1"/>
  <c r="O273" i="4"/>
  <c r="H25" i="18"/>
  <c r="I29" i="18"/>
  <c r="O380" i="4"/>
  <c r="K50" i="17"/>
  <c r="G44" i="17"/>
  <c r="N546" i="4"/>
  <c r="G43" i="19"/>
  <c r="I43" i="5"/>
  <c r="T386" i="4"/>
  <c r="AA386" i="4" s="1"/>
  <c r="L30" i="18"/>
  <c r="L30" i="5" s="1"/>
  <c r="L39" i="5"/>
  <c r="J39" i="5"/>
  <c r="P497" i="4"/>
  <c r="S861" i="16"/>
  <c r="R380" i="4"/>
  <c r="Q380" i="4"/>
  <c r="Q546" i="4"/>
  <c r="S518" i="4"/>
  <c r="P380" i="4"/>
  <c r="P546" i="4"/>
  <c r="R546" i="4"/>
  <c r="O571" i="4"/>
  <c r="S392" i="4"/>
  <c r="Q497" i="4"/>
  <c r="Q571" i="4"/>
  <c r="T376" i="4"/>
  <c r="AA376" i="4" s="1"/>
  <c r="P571" i="4"/>
  <c r="S373" i="4"/>
  <c r="S330" i="4"/>
  <c r="N309" i="4"/>
  <c r="M380" i="4"/>
  <c r="R277" i="4"/>
  <c r="N277" i="4"/>
  <c r="O169" i="4"/>
  <c r="R309" i="4"/>
  <c r="O497" i="4"/>
  <c r="O528" i="4" s="1"/>
  <c r="T351" i="4"/>
  <c r="AA351" i="4" s="1"/>
  <c r="R355" i="4"/>
  <c r="N355" i="4"/>
  <c r="O355" i="4"/>
  <c r="T346" i="4"/>
  <c r="AA346" i="4" s="1"/>
  <c r="S291" i="4"/>
  <c r="Q277" i="4"/>
  <c r="S279" i="4"/>
  <c r="R273" i="4"/>
  <c r="P277" i="4"/>
  <c r="N273" i="4"/>
  <c r="O277" i="4"/>
  <c r="S157" i="4"/>
  <c r="S487" i="4"/>
  <c r="P169" i="4"/>
  <c r="S271" i="4"/>
  <c r="S297" i="4"/>
  <c r="S552" i="4"/>
  <c r="Q169" i="4"/>
  <c r="M169" i="4"/>
  <c r="O189" i="4"/>
  <c r="S343" i="4"/>
  <c r="R497" i="4"/>
  <c r="N524" i="4"/>
  <c r="S542" i="4"/>
  <c r="L43" i="18" s="1"/>
  <c r="L43" i="5" s="1"/>
  <c r="S538" i="4"/>
  <c r="S560" i="4"/>
  <c r="S567" i="4"/>
  <c r="R169" i="4"/>
  <c r="P355" i="4"/>
  <c r="R189" i="4"/>
  <c r="N189" i="4"/>
  <c r="S302" i="4"/>
  <c r="Q309" i="4"/>
  <c r="M309" i="4"/>
  <c r="M524" i="4"/>
  <c r="N169" i="4"/>
  <c r="S167" i="4"/>
  <c r="P309" i="4"/>
  <c r="S324" i="4"/>
  <c r="S337" i="4"/>
  <c r="Q355" i="4"/>
  <c r="M355" i="4"/>
  <c r="S365" i="4"/>
  <c r="S440" i="4"/>
  <c r="S495" i="4"/>
  <c r="L36" i="18" s="1"/>
  <c r="L36" i="5" s="1"/>
  <c r="S249" i="4"/>
  <c r="S242" i="4"/>
  <c r="S235" i="4"/>
  <c r="S259" i="4"/>
  <c r="S187" i="4"/>
  <c r="L21" i="18" s="1"/>
  <c r="O261" i="4"/>
  <c r="S207" i="4"/>
  <c r="N261" i="4"/>
  <c r="Q261" i="4"/>
  <c r="M261" i="4"/>
  <c r="R261" i="4"/>
  <c r="S152" i="4"/>
  <c r="Q189" i="4"/>
  <c r="M189" i="4"/>
  <c r="P189" i="4"/>
  <c r="S146" i="4"/>
  <c r="L20" i="19" s="1"/>
  <c r="O524" i="4"/>
  <c r="N497" i="4"/>
  <c r="N528" i="4" s="1"/>
  <c r="S180" i="4"/>
  <c r="P261" i="4"/>
  <c r="M277" i="4"/>
  <c r="M497" i="4"/>
  <c r="T2282" i="16"/>
  <c r="S2282" i="16"/>
  <c r="AJ859" i="16" l="1"/>
  <c r="AH861" i="16"/>
  <c r="AJ861" i="16" s="1"/>
  <c r="AA348" i="4"/>
  <c r="AH346" i="4"/>
  <c r="AH348" i="4" s="1"/>
  <c r="AA353" i="4"/>
  <c r="AH351" i="4"/>
  <c r="AH353" i="4" s="1"/>
  <c r="AA392" i="4"/>
  <c r="T30" i="18" s="1"/>
  <c r="AH386" i="4"/>
  <c r="AH392" i="4" s="1"/>
  <c r="AA30" i="5" s="1"/>
  <c r="T47" i="19"/>
  <c r="AH558" i="4"/>
  <c r="AA378" i="4"/>
  <c r="AH376" i="4"/>
  <c r="AH378" i="4" s="1"/>
  <c r="T47" i="18"/>
  <c r="AH557" i="4"/>
  <c r="AA518" i="4"/>
  <c r="AH515" i="4"/>
  <c r="AH518" i="4" s="1"/>
  <c r="AA41" i="5" s="1"/>
  <c r="AC41" i="5" s="1"/>
  <c r="T47" i="5"/>
  <c r="T30" i="5"/>
  <c r="L22" i="19"/>
  <c r="L28" i="19" s="1"/>
  <c r="AA861" i="16"/>
  <c r="H29" i="5"/>
  <c r="L29" i="18"/>
  <c r="L32" i="18" s="1"/>
  <c r="L32" i="5" s="1"/>
  <c r="M34" i="19"/>
  <c r="AA451" i="4"/>
  <c r="T508" i="4"/>
  <c r="AA504" i="4"/>
  <c r="AH504" i="4" s="1"/>
  <c r="AN18" i="5"/>
  <c r="L24" i="18"/>
  <c r="L24" i="5" s="1"/>
  <c r="H20" i="5"/>
  <c r="L34" i="18"/>
  <c r="L37" i="18" s="1"/>
  <c r="P528" i="4"/>
  <c r="J42" i="18"/>
  <c r="R382" i="4"/>
  <c r="R408" i="4" s="1"/>
  <c r="R404" i="4" s="1"/>
  <c r="L47" i="5"/>
  <c r="L37" i="19"/>
  <c r="L22" i="18"/>
  <c r="L21" i="5"/>
  <c r="G50" i="17"/>
  <c r="I20" i="5"/>
  <c r="I22" i="19"/>
  <c r="I28" i="19" s="1"/>
  <c r="I44" i="19" s="1"/>
  <c r="I50" i="19" s="1"/>
  <c r="Q524" i="4"/>
  <c r="Q528" i="4"/>
  <c r="J32" i="18"/>
  <c r="J32" i="5" s="1"/>
  <c r="J29" i="5"/>
  <c r="P524" i="4"/>
  <c r="L49" i="18"/>
  <c r="L49" i="5" s="1"/>
  <c r="H22" i="5"/>
  <c r="T378" i="4"/>
  <c r="K42" i="18"/>
  <c r="K39" i="5"/>
  <c r="K42" i="5" s="1"/>
  <c r="M47" i="19"/>
  <c r="G32" i="18"/>
  <c r="G32" i="5" s="1"/>
  <c r="G29" i="5"/>
  <c r="P382" i="4"/>
  <c r="P408" i="4" s="1"/>
  <c r="P404" i="4" s="1"/>
  <c r="T348" i="4"/>
  <c r="T353" i="4"/>
  <c r="J42" i="5"/>
  <c r="T392" i="4"/>
  <c r="M30" i="18"/>
  <c r="I29" i="5"/>
  <c r="I32" i="18"/>
  <c r="I32" i="5" s="1"/>
  <c r="M47" i="18"/>
  <c r="G28" i="18"/>
  <c r="G26" i="5"/>
  <c r="R524" i="4"/>
  <c r="R528" i="4"/>
  <c r="I25" i="5"/>
  <c r="I26" i="18"/>
  <c r="L20" i="5"/>
  <c r="G43" i="5"/>
  <c r="K29" i="5"/>
  <c r="K32" i="18"/>
  <c r="K32" i="5" s="1"/>
  <c r="G22" i="19"/>
  <c r="G28" i="19" s="1"/>
  <c r="G44" i="19" s="1"/>
  <c r="G50" i="19" s="1"/>
  <c r="G20" i="5"/>
  <c r="L35" i="5"/>
  <c r="K26" i="5"/>
  <c r="K28" i="18"/>
  <c r="S273" i="4"/>
  <c r="L25" i="18"/>
  <c r="O382" i="4"/>
  <c r="O408" i="4" s="1"/>
  <c r="O404" i="4" s="1"/>
  <c r="S520" i="4"/>
  <c r="L41" i="18"/>
  <c r="I34" i="5"/>
  <c r="I37" i="5" s="1"/>
  <c r="I37" i="18"/>
  <c r="H26" i="18"/>
  <c r="H25" i="5"/>
  <c r="J22" i="19"/>
  <c r="J28" i="19" s="1"/>
  <c r="J44" i="19" s="1"/>
  <c r="J50" i="19" s="1"/>
  <c r="J20" i="5"/>
  <c r="I42" i="18"/>
  <c r="I41" i="5"/>
  <c r="I42" i="5" s="1"/>
  <c r="J26" i="18"/>
  <c r="J25" i="5"/>
  <c r="K20" i="5"/>
  <c r="K22" i="19"/>
  <c r="K28" i="19" s="1"/>
  <c r="L33" i="5"/>
  <c r="O191" i="4"/>
  <c r="O281" i="4" s="1"/>
  <c r="S380" i="4"/>
  <c r="M191" i="4"/>
  <c r="M281" i="4" s="1"/>
  <c r="N382" i="4"/>
  <c r="N408" i="4" s="1"/>
  <c r="N404" i="4" s="1"/>
  <c r="S546" i="4"/>
  <c r="N191" i="4"/>
  <c r="N281" i="4" s="1"/>
  <c r="P191" i="4"/>
  <c r="P281" i="4" s="1"/>
  <c r="M382" i="4"/>
  <c r="M408" i="4" s="1"/>
  <c r="M404" i="4" s="1"/>
  <c r="S309" i="4"/>
  <c r="Q382" i="4"/>
  <c r="S355" i="4"/>
  <c r="S277" i="4"/>
  <c r="S497" i="4"/>
  <c r="R191" i="4"/>
  <c r="R281" i="4" s="1"/>
  <c r="Q191" i="4"/>
  <c r="Q281" i="4" s="1"/>
  <c r="S571" i="4"/>
  <c r="S169" i="4"/>
  <c r="S261" i="4"/>
  <c r="S189" i="4"/>
  <c r="AA47" i="5" l="1"/>
  <c r="T34" i="19"/>
  <c r="AH451" i="4"/>
  <c r="AH508" i="4"/>
  <c r="AH520" i="4" s="1"/>
  <c r="AA508" i="4"/>
  <c r="AA520" i="4" s="1"/>
  <c r="T39" i="18"/>
  <c r="T42" i="18" s="1"/>
  <c r="T41" i="5"/>
  <c r="L22" i="5"/>
  <c r="L29" i="5"/>
  <c r="M39" i="18"/>
  <c r="T520" i="4"/>
  <c r="L34" i="5"/>
  <c r="L37" i="5" s="1"/>
  <c r="M30" i="5"/>
  <c r="I22" i="5"/>
  <c r="S524" i="4"/>
  <c r="G22" i="5"/>
  <c r="J22" i="5"/>
  <c r="G28" i="5"/>
  <c r="K28" i="5"/>
  <c r="K44" i="19"/>
  <c r="K50" i="19" s="1"/>
  <c r="L26" i="18"/>
  <c r="L25" i="5"/>
  <c r="S528" i="4"/>
  <c r="L41" i="5"/>
  <c r="L42" i="5" s="1"/>
  <c r="L42" i="18"/>
  <c r="M47" i="5"/>
  <c r="K22" i="5"/>
  <c r="J28" i="18"/>
  <c r="J28" i="5" s="1"/>
  <c r="J26" i="5"/>
  <c r="H28" i="18"/>
  <c r="H26" i="5"/>
  <c r="I26" i="5"/>
  <c r="I28" i="18"/>
  <c r="I28" i="5" s="1"/>
  <c r="K44" i="18"/>
  <c r="G44" i="18"/>
  <c r="Q408" i="4"/>
  <c r="Q404" i="4" s="1"/>
  <c r="S382" i="4"/>
  <c r="S191" i="4"/>
  <c r="S281" i="4" s="1"/>
  <c r="AA42" i="5" l="1"/>
  <c r="AC42" i="5" s="1"/>
  <c r="AA39" i="5"/>
  <c r="AC39" i="5" s="1"/>
  <c r="T42" i="5"/>
  <c r="T39" i="5"/>
  <c r="M42" i="18"/>
  <c r="M39" i="5"/>
  <c r="M42" i="5" s="1"/>
  <c r="K50" i="18"/>
  <c r="K50" i="5" s="1"/>
  <c r="K44" i="5"/>
  <c r="L28" i="18"/>
  <c r="L28" i="5" s="1"/>
  <c r="L26" i="5"/>
  <c r="G50" i="18"/>
  <c r="G50" i="5" s="1"/>
  <c r="G44" i="5"/>
  <c r="H28" i="5"/>
  <c r="H44" i="18"/>
  <c r="I44" i="18"/>
  <c r="J44" i="18"/>
  <c r="S408" i="4"/>
  <c r="S404" i="4" s="1"/>
  <c r="H50" i="18" l="1"/>
  <c r="H50" i="5" s="1"/>
  <c r="H44" i="5"/>
  <c r="J50" i="18"/>
  <c r="J50" i="5" s="1"/>
  <c r="J44" i="5"/>
  <c r="I50" i="18"/>
  <c r="I50" i="5" s="1"/>
  <c r="I44" i="5"/>
  <c r="R150" i="16"/>
  <c r="Q150" i="16"/>
  <c r="P150" i="16"/>
  <c r="O150" i="16"/>
  <c r="R139" i="16"/>
  <c r="Q139" i="16"/>
  <c r="P139" i="16"/>
  <c r="O139" i="16"/>
  <c r="N139" i="16"/>
  <c r="N173" i="16" s="1"/>
  <c r="R128" i="16"/>
  <c r="Q128" i="16"/>
  <c r="R110" i="16"/>
  <c r="Q110" i="16"/>
  <c r="P110" i="16"/>
  <c r="R99" i="16"/>
  <c r="Q99" i="16"/>
  <c r="P99" i="16"/>
  <c r="O99" i="16"/>
  <c r="R88" i="16"/>
  <c r="Q88" i="16"/>
  <c r="P88" i="16"/>
  <c r="S83" i="16"/>
  <c r="T83" i="16" s="1"/>
  <c r="AA83" i="16" s="1"/>
  <c r="AH83" i="16" s="1"/>
  <c r="R73" i="16"/>
  <c r="Q73" i="16"/>
  <c r="R63" i="16"/>
  <c r="Q63" i="16"/>
  <c r="P63" i="16"/>
  <c r="R52" i="16"/>
  <c r="Q52" i="16"/>
  <c r="P52" i="16"/>
  <c r="S37" i="16" l="1"/>
  <c r="T37" i="16" s="1"/>
  <c r="AA37" i="16" s="1"/>
  <c r="AH37" i="16" s="1"/>
  <c r="R42" i="16"/>
  <c r="Q42" i="16"/>
  <c r="P42" i="16"/>
  <c r="O42" i="16"/>
  <c r="R29" i="16"/>
  <c r="Q29" i="16"/>
  <c r="P29" i="16"/>
  <c r="R18" i="16"/>
  <c r="Q18" i="16"/>
  <c r="P18" i="16"/>
  <c r="O18" i="16"/>
  <c r="P173" i="16" l="1"/>
  <c r="Q173" i="16"/>
  <c r="R173" i="16"/>
  <c r="O173" i="16"/>
  <c r="M1147" i="16" l="1"/>
  <c r="N1147" i="16"/>
  <c r="O1147" i="16"/>
  <c r="P1147" i="16"/>
  <c r="Q1147" i="16"/>
  <c r="R1147" i="16"/>
  <c r="R1197" i="16"/>
  <c r="Q1197" i="16"/>
  <c r="P1197" i="16"/>
  <c r="O1197" i="16"/>
  <c r="N1197" i="16"/>
  <c r="M1197" i="16"/>
  <c r="J1197" i="16"/>
  <c r="S1195" i="16"/>
  <c r="T1195" i="16" s="1"/>
  <c r="AA1195" i="16" s="1"/>
  <c r="AH1195" i="16" s="1"/>
  <c r="S1168" i="16"/>
  <c r="T1168" i="16" s="1"/>
  <c r="AA1168" i="16" s="1"/>
  <c r="AH1168" i="16" s="1"/>
  <c r="AJ1168" i="16" s="1"/>
  <c r="P1170" i="16"/>
  <c r="Q1170" i="16"/>
  <c r="R1170" i="16"/>
  <c r="O1170" i="16"/>
  <c r="Q1155" i="16"/>
  <c r="R1155" i="16"/>
  <c r="P1155" i="16"/>
  <c r="R1095" i="16"/>
  <c r="Q1095" i="16"/>
  <c r="P1095" i="16"/>
  <c r="O1095" i="16"/>
  <c r="N1095" i="16"/>
  <c r="M1095" i="16"/>
  <c r="J1095" i="16"/>
  <c r="J1101" i="16" s="1"/>
  <c r="S1093" i="16"/>
  <c r="T1093" i="16" s="1"/>
  <c r="AA1093" i="16" s="1"/>
  <c r="AH1093" i="16" s="1"/>
  <c r="AJ1093" i="16" s="1"/>
  <c r="S1092" i="16"/>
  <c r="T1092" i="16" s="1"/>
  <c r="AA1092" i="16" s="1"/>
  <c r="AH1092" i="16" s="1"/>
  <c r="AJ1092" i="16" s="1"/>
  <c r="S1091" i="16"/>
  <c r="T1091" i="16" s="1"/>
  <c r="AA1091" i="16" s="1"/>
  <c r="AH1091" i="16" s="1"/>
  <c r="L1095" i="16"/>
  <c r="S820" i="16"/>
  <c r="R754" i="16"/>
  <c r="Q754" i="16"/>
  <c r="R748" i="16"/>
  <c r="Q748" i="16"/>
  <c r="Q730" i="16"/>
  <c r="S709" i="16"/>
  <c r="T709" i="16" s="1"/>
  <c r="AA709" i="16" s="1"/>
  <c r="AH709" i="16" s="1"/>
  <c r="AJ709" i="16" s="1"/>
  <c r="M566" i="16"/>
  <c r="M568" i="16" s="1"/>
  <c r="N566" i="16"/>
  <c r="N568" i="16" s="1"/>
  <c r="O566" i="16"/>
  <c r="O568" i="16" s="1"/>
  <c r="P566" i="16"/>
  <c r="P568" i="16" s="1"/>
  <c r="Q566" i="16"/>
  <c r="Q568" i="16" s="1"/>
  <c r="R566" i="16"/>
  <c r="R568" i="16" s="1"/>
  <c r="J566" i="16"/>
  <c r="S563" i="16"/>
  <c r="T563" i="16" s="1"/>
  <c r="AA563" i="16" s="1"/>
  <c r="AH563" i="16" s="1"/>
  <c r="M554" i="16"/>
  <c r="N554" i="16"/>
  <c r="O554" i="16"/>
  <c r="P554" i="16"/>
  <c r="Q554" i="16"/>
  <c r="R554" i="16"/>
  <c r="M548" i="16"/>
  <c r="N548" i="16"/>
  <c r="O548" i="16"/>
  <c r="P548" i="16"/>
  <c r="Q548" i="16"/>
  <c r="R548" i="16"/>
  <c r="M542" i="16"/>
  <c r="N542" i="16"/>
  <c r="O542" i="16"/>
  <c r="P542" i="16"/>
  <c r="Q542" i="16"/>
  <c r="R542" i="16"/>
  <c r="M527" i="16"/>
  <c r="N527" i="16"/>
  <c r="O527" i="16"/>
  <c r="P527" i="16"/>
  <c r="Q527" i="16"/>
  <c r="R527" i="16"/>
  <c r="M521" i="16"/>
  <c r="N521" i="16"/>
  <c r="O521" i="16"/>
  <c r="P521" i="16"/>
  <c r="Q521" i="16"/>
  <c r="R521" i="16"/>
  <c r="R402" i="16"/>
  <c r="Q402" i="16"/>
  <c r="P402" i="16"/>
  <c r="O402" i="16"/>
  <c r="N402" i="16"/>
  <c r="M402" i="16"/>
  <c r="J402" i="16"/>
  <c r="S400" i="16"/>
  <c r="T400" i="16" s="1"/>
  <c r="AA400" i="16" s="1"/>
  <c r="AH400" i="16" s="1"/>
  <c r="L402" i="16"/>
  <c r="AJ563" i="16" l="1"/>
  <c r="AJ1091" i="16"/>
  <c r="AH1095" i="16"/>
  <c r="AJ400" i="16"/>
  <c r="AH402" i="16"/>
  <c r="AJ402" i="16" s="1"/>
  <c r="AJ1195" i="16"/>
  <c r="AH1197" i="16"/>
  <c r="AJ1197" i="16" s="1"/>
  <c r="AA1197" i="16"/>
  <c r="AA402" i="16"/>
  <c r="AA1095" i="16"/>
  <c r="S1197" i="16"/>
  <c r="T1197" i="16"/>
  <c r="S1095" i="16"/>
  <c r="T1095" i="16"/>
  <c r="S402" i="16"/>
  <c r="T402" i="16"/>
  <c r="N674" i="16"/>
  <c r="O674" i="16"/>
  <c r="P674" i="16"/>
  <c r="Q674" i="16"/>
  <c r="R674" i="16"/>
  <c r="N666" i="16"/>
  <c r="O666" i="16"/>
  <c r="P666" i="16"/>
  <c r="Q666" i="16"/>
  <c r="R666" i="16"/>
  <c r="N659" i="16"/>
  <c r="O659" i="16"/>
  <c r="P659" i="16"/>
  <c r="Q659" i="16"/>
  <c r="R659" i="16"/>
  <c r="N650" i="16"/>
  <c r="O650" i="16"/>
  <c r="P650" i="16"/>
  <c r="Q650" i="16"/>
  <c r="R650" i="16"/>
  <c r="N641" i="16"/>
  <c r="O641" i="16"/>
  <c r="P641" i="16"/>
  <c r="Q641" i="16"/>
  <c r="R641" i="16"/>
  <c r="M536" i="16"/>
  <c r="N536" i="16"/>
  <c r="O536" i="16"/>
  <c r="P536" i="16"/>
  <c r="Q536" i="16"/>
  <c r="R536" i="16"/>
  <c r="M515" i="16"/>
  <c r="N515" i="16"/>
  <c r="O515" i="16"/>
  <c r="P515" i="16"/>
  <c r="Q515" i="16"/>
  <c r="R515" i="16"/>
  <c r="M509" i="16"/>
  <c r="N509" i="16"/>
  <c r="O509" i="16"/>
  <c r="P509" i="16"/>
  <c r="Q509" i="16"/>
  <c r="R509" i="16"/>
  <c r="M503" i="16"/>
  <c r="N503" i="16"/>
  <c r="O503" i="16"/>
  <c r="P503" i="16"/>
  <c r="Q503" i="16"/>
  <c r="R503" i="16"/>
  <c r="M497" i="16"/>
  <c r="N497" i="16"/>
  <c r="O497" i="16"/>
  <c r="P497" i="16"/>
  <c r="Q497" i="16"/>
  <c r="R497" i="16"/>
  <c r="M491" i="16"/>
  <c r="N491" i="16"/>
  <c r="O491" i="16"/>
  <c r="P491" i="16"/>
  <c r="Q491" i="16"/>
  <c r="R491" i="16"/>
  <c r="M485" i="16"/>
  <c r="N485" i="16"/>
  <c r="O485" i="16"/>
  <c r="P485" i="16"/>
  <c r="Q485" i="16"/>
  <c r="R485" i="16"/>
  <c r="M476" i="16"/>
  <c r="N476" i="16"/>
  <c r="O476" i="16"/>
  <c r="P476" i="16"/>
  <c r="Q476" i="16"/>
  <c r="R476" i="16"/>
  <c r="M470" i="16"/>
  <c r="N470" i="16"/>
  <c r="O470" i="16"/>
  <c r="P470" i="16"/>
  <c r="Q470" i="16"/>
  <c r="R470" i="16"/>
  <c r="M464" i="16"/>
  <c r="N464" i="16"/>
  <c r="O464" i="16"/>
  <c r="P464" i="16"/>
  <c r="Q464" i="16"/>
  <c r="R464" i="16"/>
  <c r="M458" i="16"/>
  <c r="N458" i="16"/>
  <c r="O458" i="16"/>
  <c r="P458" i="16"/>
  <c r="Q458" i="16"/>
  <c r="R458" i="16"/>
  <c r="M449" i="16"/>
  <c r="N449" i="16"/>
  <c r="N451" i="16" s="1"/>
  <c r="O449" i="16"/>
  <c r="O451" i="16" s="1"/>
  <c r="P449" i="16"/>
  <c r="P451" i="16" s="1"/>
  <c r="Q449" i="16"/>
  <c r="Q451" i="16" s="1"/>
  <c r="R449" i="16"/>
  <c r="R451" i="16" s="1"/>
  <c r="N381" i="16"/>
  <c r="O381" i="16"/>
  <c r="P381" i="16"/>
  <c r="Q381" i="16"/>
  <c r="R381" i="16"/>
  <c r="N372" i="16"/>
  <c r="O372" i="16"/>
  <c r="P372" i="16"/>
  <c r="Q372" i="16"/>
  <c r="R372" i="16"/>
  <c r="N366" i="16"/>
  <c r="O366" i="16"/>
  <c r="P366" i="16"/>
  <c r="Q366" i="16"/>
  <c r="R366" i="16"/>
  <c r="N360" i="16"/>
  <c r="O360" i="16"/>
  <c r="P360" i="16"/>
  <c r="Q360" i="16"/>
  <c r="R360" i="16"/>
  <c r="N351" i="16"/>
  <c r="O351" i="16"/>
  <c r="P351" i="16"/>
  <c r="Q351" i="16"/>
  <c r="R351" i="16"/>
  <c r="N343" i="16"/>
  <c r="O343" i="16"/>
  <c r="P343" i="16"/>
  <c r="Q343" i="16"/>
  <c r="R343" i="16"/>
  <c r="N186" i="16"/>
  <c r="O186" i="16"/>
  <c r="P186" i="16"/>
  <c r="Q186" i="16"/>
  <c r="R186" i="16"/>
  <c r="N194" i="16"/>
  <c r="O194" i="16"/>
  <c r="P194" i="16"/>
  <c r="Q194" i="16"/>
  <c r="R194" i="16"/>
  <c r="N201" i="16"/>
  <c r="O201" i="16"/>
  <c r="P201" i="16"/>
  <c r="Q201" i="16"/>
  <c r="R201" i="16"/>
  <c r="N210" i="16"/>
  <c r="N212" i="16" s="1"/>
  <c r="O210" i="16"/>
  <c r="O212" i="16" s="1"/>
  <c r="P210" i="16"/>
  <c r="P212" i="16" s="1"/>
  <c r="Q210" i="16"/>
  <c r="Q212" i="16" s="1"/>
  <c r="R210" i="16"/>
  <c r="R212" i="16" s="1"/>
  <c r="N219" i="16"/>
  <c r="O219" i="16"/>
  <c r="P219" i="16"/>
  <c r="Q219" i="16"/>
  <c r="R219" i="16"/>
  <c r="N225" i="16"/>
  <c r="O225" i="16"/>
  <c r="P225" i="16"/>
  <c r="Q225" i="16"/>
  <c r="R225" i="16"/>
  <c r="N231" i="16"/>
  <c r="O231" i="16"/>
  <c r="P231" i="16"/>
  <c r="Q231" i="16"/>
  <c r="R231" i="16"/>
  <c r="N237" i="16"/>
  <c r="O237" i="16"/>
  <c r="P237" i="16"/>
  <c r="Q237" i="16"/>
  <c r="R237" i="16"/>
  <c r="N243" i="16"/>
  <c r="O243" i="16"/>
  <c r="P243" i="16"/>
  <c r="Q243" i="16"/>
  <c r="R243" i="16"/>
  <c r="M249" i="16"/>
  <c r="N249" i="16"/>
  <c r="O249" i="16"/>
  <c r="P249" i="16"/>
  <c r="Q249" i="16"/>
  <c r="R249" i="16"/>
  <c r="N258" i="16"/>
  <c r="O258" i="16"/>
  <c r="P258" i="16"/>
  <c r="Q258" i="16"/>
  <c r="R258" i="16"/>
  <c r="N265" i="16"/>
  <c r="O265" i="16"/>
  <c r="P265" i="16"/>
  <c r="Q265" i="16"/>
  <c r="R265" i="16"/>
  <c r="N271" i="16"/>
  <c r="O271" i="16"/>
  <c r="P271" i="16"/>
  <c r="Q271" i="16"/>
  <c r="R271" i="16"/>
  <c r="N277" i="16"/>
  <c r="O277" i="16"/>
  <c r="P277" i="16"/>
  <c r="Q277" i="16"/>
  <c r="R277" i="16"/>
  <c r="N285" i="16"/>
  <c r="O285" i="16"/>
  <c r="P285" i="16"/>
  <c r="Q285" i="16"/>
  <c r="R285" i="16"/>
  <c r="N294" i="16"/>
  <c r="O294" i="16"/>
  <c r="P294" i="16"/>
  <c r="Q294" i="16"/>
  <c r="R294" i="16"/>
  <c r="N300" i="16"/>
  <c r="O300" i="16"/>
  <c r="P300" i="16"/>
  <c r="Q300" i="16"/>
  <c r="R300" i="16"/>
  <c r="M306" i="16"/>
  <c r="N306" i="16"/>
  <c r="O306" i="16"/>
  <c r="P306" i="16"/>
  <c r="Q306" i="16"/>
  <c r="R306" i="16"/>
  <c r="N337" i="16"/>
  <c r="O337" i="16"/>
  <c r="P337" i="16"/>
  <c r="Q337" i="16"/>
  <c r="R337" i="16"/>
  <c r="M331" i="16"/>
  <c r="N331" i="16"/>
  <c r="O331" i="16"/>
  <c r="P331" i="16"/>
  <c r="Q331" i="16"/>
  <c r="R331" i="16"/>
  <c r="M325" i="16"/>
  <c r="N325" i="16"/>
  <c r="O325" i="16"/>
  <c r="P325" i="16"/>
  <c r="Q325" i="16"/>
  <c r="R325" i="16"/>
  <c r="M319" i="16"/>
  <c r="N319" i="16"/>
  <c r="O319" i="16"/>
  <c r="P319" i="16"/>
  <c r="Q319" i="16"/>
  <c r="R319" i="16"/>
  <c r="M312" i="16"/>
  <c r="N312" i="16"/>
  <c r="O312" i="16"/>
  <c r="P312" i="16"/>
  <c r="Q312" i="16"/>
  <c r="R312" i="16"/>
  <c r="M387" i="16"/>
  <c r="N387" i="16"/>
  <c r="O387" i="16"/>
  <c r="P387" i="16"/>
  <c r="Q387" i="16"/>
  <c r="R387" i="16"/>
  <c r="M396" i="16"/>
  <c r="M404" i="16" s="1"/>
  <c r="N396" i="16"/>
  <c r="N404" i="16" s="1"/>
  <c r="O396" i="16"/>
  <c r="O404" i="16" s="1"/>
  <c r="P396" i="16"/>
  <c r="P404" i="16" s="1"/>
  <c r="Q396" i="16"/>
  <c r="Q404" i="16" s="1"/>
  <c r="R396" i="16"/>
  <c r="R404" i="16" s="1"/>
  <c r="M413" i="16"/>
  <c r="M415" i="16" s="1"/>
  <c r="N413" i="16"/>
  <c r="N415" i="16" s="1"/>
  <c r="O413" i="16"/>
  <c r="O415" i="16" s="1"/>
  <c r="P413" i="16"/>
  <c r="P415" i="16" s="1"/>
  <c r="Q413" i="16"/>
  <c r="Q415" i="16" s="1"/>
  <c r="R413" i="16"/>
  <c r="R415" i="16" s="1"/>
  <c r="N425" i="16"/>
  <c r="O425" i="16"/>
  <c r="P425" i="16"/>
  <c r="Q425" i="16"/>
  <c r="R425" i="16"/>
  <c r="M431" i="16"/>
  <c r="N431" i="16"/>
  <c r="O431" i="16"/>
  <c r="P431" i="16"/>
  <c r="Q431" i="16"/>
  <c r="R431" i="16"/>
  <c r="N437" i="16"/>
  <c r="O437" i="16"/>
  <c r="P437" i="16"/>
  <c r="Q437" i="16"/>
  <c r="R437" i="16"/>
  <c r="N608" i="16"/>
  <c r="O608" i="16"/>
  <c r="P608" i="16"/>
  <c r="Q608" i="16"/>
  <c r="R608" i="16"/>
  <c r="N600" i="16"/>
  <c r="O600" i="16"/>
  <c r="P600" i="16"/>
  <c r="Q600" i="16"/>
  <c r="R600" i="16"/>
  <c r="N592" i="16"/>
  <c r="O592" i="16"/>
  <c r="P592" i="16"/>
  <c r="Q592" i="16"/>
  <c r="R592" i="16"/>
  <c r="N584" i="16"/>
  <c r="O584" i="16"/>
  <c r="P584" i="16"/>
  <c r="Q584" i="16"/>
  <c r="R584" i="16"/>
  <c r="N575" i="16"/>
  <c r="O575" i="16"/>
  <c r="P575" i="16"/>
  <c r="Q575" i="16"/>
  <c r="R575" i="16"/>
  <c r="M614" i="16"/>
  <c r="N614" i="16"/>
  <c r="O614" i="16"/>
  <c r="P614" i="16"/>
  <c r="Q614" i="16"/>
  <c r="R614" i="16"/>
  <c r="M622" i="16"/>
  <c r="N622" i="16"/>
  <c r="O622" i="16"/>
  <c r="P622" i="16"/>
  <c r="Q622" i="16"/>
  <c r="R622" i="16"/>
  <c r="N631" i="16"/>
  <c r="O631" i="16"/>
  <c r="P631" i="16"/>
  <c r="Q631" i="16"/>
  <c r="R631" i="16"/>
  <c r="N682" i="16"/>
  <c r="O682" i="16"/>
  <c r="P682" i="16"/>
  <c r="Q682" i="16"/>
  <c r="R682" i="16"/>
  <c r="N691" i="16"/>
  <c r="O691" i="16"/>
  <c r="P691" i="16"/>
  <c r="Q691" i="16"/>
  <c r="R691" i="16"/>
  <c r="N699" i="16"/>
  <c r="O699" i="16"/>
  <c r="P699" i="16"/>
  <c r="Q699" i="16"/>
  <c r="R699" i="16"/>
  <c r="N711" i="16"/>
  <c r="O711" i="16"/>
  <c r="P711" i="16"/>
  <c r="Q711" i="16"/>
  <c r="R711" i="16"/>
  <c r="N717" i="16"/>
  <c r="O717" i="16"/>
  <c r="P717" i="16"/>
  <c r="Q717" i="16"/>
  <c r="R717" i="16"/>
  <c r="M724" i="16"/>
  <c r="N724" i="16"/>
  <c r="O724" i="16"/>
  <c r="P724" i="16"/>
  <c r="Q724" i="16"/>
  <c r="R724" i="16"/>
  <c r="N736" i="16"/>
  <c r="O736" i="16"/>
  <c r="P736" i="16"/>
  <c r="Q736" i="16"/>
  <c r="R736" i="16"/>
  <c r="N742" i="16"/>
  <c r="O742" i="16"/>
  <c r="P742" i="16"/>
  <c r="Q742" i="16"/>
  <c r="R742" i="16"/>
  <c r="N760" i="16"/>
  <c r="O760" i="16"/>
  <c r="P760" i="16"/>
  <c r="Q760" i="16"/>
  <c r="R760" i="16"/>
  <c r="N823" i="16"/>
  <c r="O823" i="16"/>
  <c r="P823" i="16"/>
  <c r="Q823" i="16"/>
  <c r="R823" i="16"/>
  <c r="N829" i="16"/>
  <c r="O829" i="16"/>
  <c r="P829" i="16"/>
  <c r="Q829" i="16"/>
  <c r="R829" i="16"/>
  <c r="M843" i="16"/>
  <c r="N843" i="16"/>
  <c r="O843" i="16"/>
  <c r="P843" i="16"/>
  <c r="Q843" i="16"/>
  <c r="R843" i="16"/>
  <c r="N836" i="16"/>
  <c r="O836" i="16"/>
  <c r="P836" i="16"/>
  <c r="Q836" i="16"/>
  <c r="R836" i="16"/>
  <c r="N849" i="16"/>
  <c r="O849" i="16"/>
  <c r="P849" i="16"/>
  <c r="Q849" i="16"/>
  <c r="R849" i="16"/>
  <c r="N855" i="16"/>
  <c r="N861" i="16" s="1"/>
  <c r="O855" i="16"/>
  <c r="P855" i="16"/>
  <c r="Q855" i="16"/>
  <c r="R855" i="16"/>
  <c r="N869" i="16"/>
  <c r="O869" i="16"/>
  <c r="P869" i="16"/>
  <c r="Q869" i="16"/>
  <c r="R869" i="16"/>
  <c r="M875" i="16"/>
  <c r="N875" i="16"/>
  <c r="O875" i="16"/>
  <c r="P875" i="16"/>
  <c r="Q875" i="16"/>
  <c r="R875" i="16"/>
  <c r="M881" i="16"/>
  <c r="N881" i="16"/>
  <c r="O881" i="16"/>
  <c r="P881" i="16"/>
  <c r="Q881" i="16"/>
  <c r="R881" i="16"/>
  <c r="M887" i="16"/>
  <c r="N887" i="16"/>
  <c r="O887" i="16"/>
  <c r="P887" i="16"/>
  <c r="Q887" i="16"/>
  <c r="R887" i="16"/>
  <c r="N893" i="16"/>
  <c r="O893" i="16"/>
  <c r="P893" i="16"/>
  <c r="Q893" i="16"/>
  <c r="R893" i="16"/>
  <c r="N899" i="16"/>
  <c r="O899" i="16"/>
  <c r="P899" i="16"/>
  <c r="Q899" i="16"/>
  <c r="R899" i="16"/>
  <c r="N905" i="16"/>
  <c r="O905" i="16"/>
  <c r="P905" i="16"/>
  <c r="Q905" i="16"/>
  <c r="R905" i="16"/>
  <c r="N913" i="16"/>
  <c r="O913" i="16"/>
  <c r="P913" i="16"/>
  <c r="Q913" i="16"/>
  <c r="R913" i="16"/>
  <c r="N921" i="16"/>
  <c r="O921" i="16"/>
  <c r="P921" i="16"/>
  <c r="Q921" i="16"/>
  <c r="R921" i="16"/>
  <c r="M927" i="16"/>
  <c r="N927" i="16"/>
  <c r="O927" i="16"/>
  <c r="P927" i="16"/>
  <c r="Q927" i="16"/>
  <c r="R927" i="16"/>
  <c r="N935" i="16"/>
  <c r="O935" i="16"/>
  <c r="P935" i="16"/>
  <c r="Q935" i="16"/>
  <c r="R935" i="16"/>
  <c r="N943" i="16"/>
  <c r="O943" i="16"/>
  <c r="P943" i="16"/>
  <c r="Q943" i="16"/>
  <c r="R943" i="16"/>
  <c r="N951" i="16"/>
  <c r="O951" i="16"/>
  <c r="P951" i="16"/>
  <c r="Q951" i="16"/>
  <c r="R951" i="16"/>
  <c r="M957" i="16"/>
  <c r="N957" i="16"/>
  <c r="O957" i="16"/>
  <c r="P957" i="16"/>
  <c r="Q957" i="16"/>
  <c r="R957" i="16"/>
  <c r="M963" i="16"/>
  <c r="N963" i="16"/>
  <c r="O963" i="16"/>
  <c r="P963" i="16"/>
  <c r="Q963" i="16"/>
  <c r="R963" i="16"/>
  <c r="M970" i="16"/>
  <c r="N970" i="16"/>
  <c r="O970" i="16"/>
  <c r="P970" i="16"/>
  <c r="Q970" i="16"/>
  <c r="R970" i="16"/>
  <c r="N976" i="16"/>
  <c r="O976" i="16"/>
  <c r="P976" i="16"/>
  <c r="Q976" i="16"/>
  <c r="R976" i="16"/>
  <c r="N982" i="16"/>
  <c r="O982" i="16"/>
  <c r="P982" i="16"/>
  <c r="Q982" i="16"/>
  <c r="R982" i="16"/>
  <c r="M988" i="16"/>
  <c r="N988" i="16"/>
  <c r="O988" i="16"/>
  <c r="P988" i="16"/>
  <c r="Q988" i="16"/>
  <c r="R988" i="16"/>
  <c r="M994" i="16"/>
  <c r="N994" i="16"/>
  <c r="O994" i="16"/>
  <c r="P994" i="16"/>
  <c r="Q994" i="16"/>
  <c r="R994" i="16"/>
  <c r="M1000" i="16"/>
  <c r="N1000" i="16"/>
  <c r="O1000" i="16"/>
  <c r="P1000" i="16"/>
  <c r="Q1000" i="16"/>
  <c r="R1000" i="16"/>
  <c r="M1006" i="16"/>
  <c r="N1006" i="16"/>
  <c r="O1006" i="16"/>
  <c r="P1006" i="16"/>
  <c r="Q1006" i="16"/>
  <c r="R1006" i="16"/>
  <c r="M1031" i="16"/>
  <c r="N1031" i="16"/>
  <c r="O1031" i="16"/>
  <c r="P1031" i="16"/>
  <c r="Q1031" i="16"/>
  <c r="R1031" i="16"/>
  <c r="M1025" i="16"/>
  <c r="N1025" i="16"/>
  <c r="O1025" i="16"/>
  <c r="P1025" i="16"/>
  <c r="Q1025" i="16"/>
  <c r="R1025" i="16"/>
  <c r="M1019" i="16"/>
  <c r="N1019" i="16"/>
  <c r="O1019" i="16"/>
  <c r="P1019" i="16"/>
  <c r="Q1019" i="16"/>
  <c r="R1019" i="16"/>
  <c r="M1013" i="16"/>
  <c r="N1013" i="16"/>
  <c r="O1013" i="16"/>
  <c r="P1013" i="16"/>
  <c r="Q1013" i="16"/>
  <c r="R1013" i="16"/>
  <c r="M1037" i="16"/>
  <c r="N1037" i="16"/>
  <c r="O1037" i="16"/>
  <c r="P1037" i="16"/>
  <c r="Q1037" i="16"/>
  <c r="R1037" i="16"/>
  <c r="M1045" i="16"/>
  <c r="N1045" i="16"/>
  <c r="O1045" i="16"/>
  <c r="P1045" i="16"/>
  <c r="Q1045" i="16"/>
  <c r="R1045" i="16"/>
  <c r="M1051" i="16"/>
  <c r="N1051" i="16"/>
  <c r="O1051" i="16"/>
  <c r="P1051" i="16"/>
  <c r="Q1051" i="16"/>
  <c r="R1051" i="16"/>
  <c r="N1057" i="16"/>
  <c r="O1057" i="16"/>
  <c r="P1057" i="16"/>
  <c r="Q1057" i="16"/>
  <c r="R1057" i="16"/>
  <c r="R1064" i="16"/>
  <c r="Q1064" i="16"/>
  <c r="P1064" i="16"/>
  <c r="O1064" i="16"/>
  <c r="N1064" i="16"/>
  <c r="M1071" i="16"/>
  <c r="N1071" i="16"/>
  <c r="O1071" i="16"/>
  <c r="P1071" i="16"/>
  <c r="Q1071" i="16"/>
  <c r="R1071" i="16"/>
  <c r="N1079" i="16"/>
  <c r="O1079" i="16"/>
  <c r="P1079" i="16"/>
  <c r="Q1079" i="16"/>
  <c r="R1079" i="16"/>
  <c r="N1087" i="16"/>
  <c r="O1087" i="16"/>
  <c r="P1087" i="16"/>
  <c r="Q1087" i="16"/>
  <c r="R1087" i="16"/>
  <c r="N1109" i="16"/>
  <c r="O1109" i="16"/>
  <c r="P1109" i="16"/>
  <c r="Q1109" i="16"/>
  <c r="R1109" i="16"/>
  <c r="M1115" i="16"/>
  <c r="N1115" i="16"/>
  <c r="O1115" i="16"/>
  <c r="P1115" i="16"/>
  <c r="Q1115" i="16"/>
  <c r="R1115" i="16"/>
  <c r="M1121" i="16"/>
  <c r="N1121" i="16"/>
  <c r="O1121" i="16"/>
  <c r="P1121" i="16"/>
  <c r="Q1121" i="16"/>
  <c r="R1121" i="16"/>
  <c r="M1127" i="16"/>
  <c r="N1127" i="16"/>
  <c r="O1127" i="16"/>
  <c r="P1127" i="16"/>
  <c r="Q1127" i="16"/>
  <c r="R1127" i="16"/>
  <c r="N1133" i="16"/>
  <c r="O1133" i="16"/>
  <c r="P1133" i="16"/>
  <c r="Q1133" i="16"/>
  <c r="R1133" i="16"/>
  <c r="N1139" i="16"/>
  <c r="O1139" i="16"/>
  <c r="P1139" i="16"/>
  <c r="Q1139" i="16"/>
  <c r="R1139" i="16"/>
  <c r="N1163" i="16"/>
  <c r="O1163" i="16"/>
  <c r="P1163" i="16"/>
  <c r="Q1163" i="16"/>
  <c r="R1163" i="16"/>
  <c r="R1185" i="16"/>
  <c r="Q1185" i="16"/>
  <c r="P1185" i="16"/>
  <c r="O1185" i="16"/>
  <c r="N1185" i="16"/>
  <c r="N1191" i="16"/>
  <c r="O1191" i="16"/>
  <c r="P1191" i="16"/>
  <c r="Q1191" i="16"/>
  <c r="R1191" i="16"/>
  <c r="S1189" i="16"/>
  <c r="S1191" i="16" s="1"/>
  <c r="S1181" i="16"/>
  <c r="T1181" i="16" s="1"/>
  <c r="AA1181" i="16" s="1"/>
  <c r="S1175" i="16"/>
  <c r="T1175" i="16" s="1"/>
  <c r="AA1175" i="16" s="1"/>
  <c r="AH1175" i="16" s="1"/>
  <c r="S1167" i="16"/>
  <c r="T1167" i="16" s="1"/>
  <c r="AA1167" i="16" s="1"/>
  <c r="S1161" i="16"/>
  <c r="T1161" i="16" s="1"/>
  <c r="AA1161" i="16" s="1"/>
  <c r="S1153" i="16"/>
  <c r="T1153" i="16" s="1"/>
  <c r="AA1153" i="16" s="1"/>
  <c r="AH1153" i="16" s="1"/>
  <c r="S1152" i="16"/>
  <c r="T1152" i="16" s="1"/>
  <c r="AA1152" i="16" s="1"/>
  <c r="AH1152" i="16" s="1"/>
  <c r="AJ1152" i="16" s="1"/>
  <c r="S1151" i="16"/>
  <c r="S1145" i="16"/>
  <c r="T1145" i="16" s="1"/>
  <c r="AA1145" i="16" s="1"/>
  <c r="AH1145" i="16" s="1"/>
  <c r="S1144" i="16"/>
  <c r="T1144" i="16" s="1"/>
  <c r="AA1144" i="16" s="1"/>
  <c r="AH1144" i="16" s="1"/>
  <c r="S1143" i="16"/>
  <c r="S1137" i="16"/>
  <c r="T1137" i="16" s="1"/>
  <c r="AA1137" i="16" s="1"/>
  <c r="AH1137" i="16" s="1"/>
  <c r="S1131" i="16"/>
  <c r="T1131" i="16" s="1"/>
  <c r="AA1131" i="16" s="1"/>
  <c r="AH1131" i="16" s="1"/>
  <c r="S1125" i="16"/>
  <c r="S1127" i="16" s="1"/>
  <c r="S1119" i="16"/>
  <c r="S1113" i="16"/>
  <c r="S1107" i="16"/>
  <c r="S1109" i="16" s="1"/>
  <c r="S1085" i="16"/>
  <c r="S1084" i="16"/>
  <c r="S1083" i="16"/>
  <c r="S1077" i="16"/>
  <c r="S1076" i="16"/>
  <c r="S1075" i="16"/>
  <c r="S1069" i="16"/>
  <c r="S1062" i="16"/>
  <c r="S1061" i="16"/>
  <c r="S1055" i="16"/>
  <c r="S1049" i="16"/>
  <c r="S1051" i="16" s="1"/>
  <c r="S1043" i="16"/>
  <c r="S1045" i="16" s="1"/>
  <c r="S1035" i="16"/>
  <c r="S1029" i="16"/>
  <c r="S1023" i="16"/>
  <c r="S1017" i="16"/>
  <c r="S1011" i="16"/>
  <c r="S1004" i="16"/>
  <c r="S998" i="16"/>
  <c r="S992" i="16"/>
  <c r="S994" i="16" s="1"/>
  <c r="S986" i="16"/>
  <c r="S980" i="16"/>
  <c r="S974" i="16"/>
  <c r="S976" i="16" s="1"/>
  <c r="S968" i="16"/>
  <c r="S967" i="16"/>
  <c r="S961" i="16"/>
  <c r="S963" i="16" s="1"/>
  <c r="S955" i="16"/>
  <c r="S949" i="16"/>
  <c r="S948" i="16"/>
  <c r="T948" i="16" s="1"/>
  <c r="AA948" i="16" s="1"/>
  <c r="AH948" i="16" s="1"/>
  <c r="AJ948" i="16" s="1"/>
  <c r="S947" i="16"/>
  <c r="S941" i="16"/>
  <c r="S940" i="16"/>
  <c r="S939" i="16"/>
  <c r="S933" i="16"/>
  <c r="S932" i="16"/>
  <c r="S931" i="16"/>
  <c r="S925" i="16"/>
  <c r="S919" i="16"/>
  <c r="S918" i="16"/>
  <c r="S917" i="16"/>
  <c r="S911" i="16"/>
  <c r="S910" i="16"/>
  <c r="S909" i="16"/>
  <c r="S903" i="16"/>
  <c r="S897" i="16"/>
  <c r="S891" i="16"/>
  <c r="S885" i="16"/>
  <c r="S879" i="16"/>
  <c r="S873" i="16"/>
  <c r="S867" i="16"/>
  <c r="S853" i="16"/>
  <c r="S847" i="16"/>
  <c r="S841" i="16"/>
  <c r="S840" i="16"/>
  <c r="S834" i="16"/>
  <c r="S827" i="16"/>
  <c r="S821" i="16"/>
  <c r="S758" i="16"/>
  <c r="S752" i="16"/>
  <c r="S746" i="16"/>
  <c r="S740" i="16"/>
  <c r="T740" i="16" s="1"/>
  <c r="AA740" i="16" s="1"/>
  <c r="AH740" i="16" s="1"/>
  <c r="S734" i="16"/>
  <c r="S728" i="16"/>
  <c r="T728" i="16" s="1"/>
  <c r="AA728" i="16" s="1"/>
  <c r="AH728" i="16" s="1"/>
  <c r="S722" i="16"/>
  <c r="S715" i="16"/>
  <c r="S717" i="16" s="1"/>
  <c r="S708" i="16"/>
  <c r="S707" i="16"/>
  <c r="S706" i="16"/>
  <c r="S705" i="16"/>
  <c r="S704" i="16"/>
  <c r="S703" i="16"/>
  <c r="S697" i="16"/>
  <c r="S696" i="16"/>
  <c r="S695" i="16"/>
  <c r="S689" i="16"/>
  <c r="S688" i="16"/>
  <c r="S687" i="16"/>
  <c r="S686" i="16"/>
  <c r="S680" i="16"/>
  <c r="S682" i="16" s="1"/>
  <c r="S672" i="16"/>
  <c r="S671" i="16"/>
  <c r="S664" i="16"/>
  <c r="S663" i="16"/>
  <c r="S657" i="16"/>
  <c r="S656" i="16"/>
  <c r="S655" i="16"/>
  <c r="S654" i="16"/>
  <c r="S648" i="16"/>
  <c r="S647" i="16"/>
  <c r="S646" i="16"/>
  <c r="S639" i="16"/>
  <c r="S638" i="16"/>
  <c r="S637" i="16"/>
  <c r="S629" i="16"/>
  <c r="S628" i="16"/>
  <c r="T628" i="16" s="1"/>
  <c r="AA628" i="16" s="1"/>
  <c r="AH628" i="16" s="1"/>
  <c r="AJ628" i="16" s="1"/>
  <c r="S627" i="16"/>
  <c r="T627" i="16" s="1"/>
  <c r="AA627" i="16" s="1"/>
  <c r="AH627" i="16" s="1"/>
  <c r="AJ627" i="16" s="1"/>
  <c r="S626" i="16"/>
  <c r="T626" i="16" s="1"/>
  <c r="AA626" i="16" s="1"/>
  <c r="AH626" i="16" s="1"/>
  <c r="S620" i="16"/>
  <c r="S619" i="16"/>
  <c r="S618" i="16"/>
  <c r="S612" i="16"/>
  <c r="S606" i="16"/>
  <c r="S605" i="16"/>
  <c r="S604" i="16"/>
  <c r="S598" i="16"/>
  <c r="S597" i="16"/>
  <c r="S596" i="16"/>
  <c r="S590" i="16"/>
  <c r="S589" i="16"/>
  <c r="S588" i="16"/>
  <c r="S581" i="16"/>
  <c r="S580" i="16"/>
  <c r="S579" i="16"/>
  <c r="S573" i="16"/>
  <c r="S564" i="16"/>
  <c r="S566" i="16" s="1"/>
  <c r="S568" i="16" s="1"/>
  <c r="S552" i="16"/>
  <c r="S554" i="16" s="1"/>
  <c r="S546" i="16"/>
  <c r="S548" i="16" s="1"/>
  <c r="S540" i="16"/>
  <c r="S542" i="16" s="1"/>
  <c r="S534" i="16"/>
  <c r="S533" i="16"/>
  <c r="S532" i="16"/>
  <c r="S531" i="16"/>
  <c r="S525" i="16"/>
  <c r="S527" i="16" s="1"/>
  <c r="S519" i="16"/>
  <c r="S521" i="16" s="1"/>
  <c r="S513" i="16"/>
  <c r="S515" i="16" s="1"/>
  <c r="S507" i="16"/>
  <c r="S509" i="16" s="1"/>
  <c r="S501" i="16"/>
  <c r="S503" i="16" s="1"/>
  <c r="S495" i="16"/>
  <c r="S497" i="16" s="1"/>
  <c r="S489" i="16"/>
  <c r="S483" i="16"/>
  <c r="S474" i="16"/>
  <c r="S468" i="16"/>
  <c r="S462" i="16"/>
  <c r="S464" i="16" s="1"/>
  <c r="S456" i="16"/>
  <c r="S447" i="16"/>
  <c r="S435" i="16"/>
  <c r="S429" i="16"/>
  <c r="S422" i="16"/>
  <c r="S421" i="16"/>
  <c r="S420" i="16"/>
  <c r="S411" i="16"/>
  <c r="S394" i="16"/>
  <c r="S385" i="16"/>
  <c r="S387" i="16" s="1"/>
  <c r="S379" i="16"/>
  <c r="S381" i="16" s="1"/>
  <c r="S370" i="16"/>
  <c r="S364" i="16"/>
  <c r="S358" i="16"/>
  <c r="S349" i="16"/>
  <c r="T349" i="16" s="1"/>
  <c r="AA349" i="16" s="1"/>
  <c r="AH349" i="16" s="1"/>
  <c r="AJ349" i="16" s="1"/>
  <c r="S348" i="16"/>
  <c r="T348" i="16" s="1"/>
  <c r="AA348" i="16" s="1"/>
  <c r="AH348" i="16" s="1"/>
  <c r="AJ348" i="16" s="1"/>
  <c r="S347" i="16"/>
  <c r="S341" i="16"/>
  <c r="S335" i="16"/>
  <c r="S329" i="16"/>
  <c r="S323" i="16"/>
  <c r="S317" i="16"/>
  <c r="S316" i="16"/>
  <c r="S310" i="16"/>
  <c r="S312" i="16" s="1"/>
  <c r="S304" i="16"/>
  <c r="S298" i="16"/>
  <c r="S292" i="16"/>
  <c r="S283" i="16"/>
  <c r="S282" i="16"/>
  <c r="S281" i="16"/>
  <c r="S275" i="16"/>
  <c r="S269" i="16"/>
  <c r="S263" i="16"/>
  <c r="S256" i="16"/>
  <c r="S247" i="16"/>
  <c r="S241" i="16"/>
  <c r="S235" i="16"/>
  <c r="S237" i="16" s="1"/>
  <c r="S229" i="16"/>
  <c r="S231" i="16" s="1"/>
  <c r="S223" i="16"/>
  <c r="S225" i="16" s="1"/>
  <c r="S217" i="16"/>
  <c r="S219" i="16" s="1"/>
  <c r="S208" i="16"/>
  <c r="S199" i="16"/>
  <c r="T199" i="16" s="1"/>
  <c r="AA199" i="16" s="1"/>
  <c r="AH199" i="16" s="1"/>
  <c r="AJ199" i="16" s="1"/>
  <c r="S198" i="16"/>
  <c r="T198" i="16" s="1"/>
  <c r="AA198" i="16" s="1"/>
  <c r="AH198" i="16" s="1"/>
  <c r="S192" i="16"/>
  <c r="S191" i="16"/>
  <c r="S190" i="16"/>
  <c r="S184" i="16"/>
  <c r="S186" i="16" s="1"/>
  <c r="AJ1095" i="16" l="1"/>
  <c r="AJ1101" i="16"/>
  <c r="AJ1131" i="16"/>
  <c r="AH1133" i="16"/>
  <c r="AJ1133" i="16" s="1"/>
  <c r="AA1163" i="16"/>
  <c r="AH1161" i="16"/>
  <c r="AH1163" i="16" s="1"/>
  <c r="AJ1163" i="16" s="1"/>
  <c r="AJ728" i="16"/>
  <c r="AH730" i="16"/>
  <c r="AJ730" i="16" s="1"/>
  <c r="AJ1137" i="16"/>
  <c r="AH1139" i="16"/>
  <c r="AJ1139" i="16" s="1"/>
  <c r="AA1170" i="16"/>
  <c r="AH1167" i="16"/>
  <c r="AJ1175" i="16"/>
  <c r="AH1177" i="16"/>
  <c r="AJ1177" i="16" s="1"/>
  <c r="AJ626" i="16"/>
  <c r="AJ740" i="16"/>
  <c r="AH742" i="16"/>
  <c r="AJ742" i="16" s="1"/>
  <c r="AA1183" i="16"/>
  <c r="AH1181" i="16"/>
  <c r="AJ198" i="16"/>
  <c r="AH201" i="16"/>
  <c r="AJ201" i="16" s="1"/>
  <c r="AA742" i="16"/>
  <c r="AA1133" i="16"/>
  <c r="AA730" i="16"/>
  <c r="AA1139" i="16"/>
  <c r="AA201" i="16"/>
  <c r="AA1177" i="16"/>
  <c r="R816" i="16"/>
  <c r="Q863" i="16"/>
  <c r="P863" i="16"/>
  <c r="P287" i="16"/>
  <c r="O863" i="16"/>
  <c r="R863" i="16"/>
  <c r="N863" i="16"/>
  <c r="N203" i="16"/>
  <c r="O1240" i="16"/>
  <c r="AK20" i="19" s="1"/>
  <c r="N1240" i="16"/>
  <c r="AJ20" i="19" s="1"/>
  <c r="R287" i="16"/>
  <c r="R203" i="16"/>
  <c r="R374" i="16"/>
  <c r="N374" i="16"/>
  <c r="R676" i="16"/>
  <c r="N676" i="16"/>
  <c r="T1143" i="16"/>
  <c r="S1147" i="16"/>
  <c r="R389" i="16"/>
  <c r="N389" i="16"/>
  <c r="N1103" i="16"/>
  <c r="P1103" i="16"/>
  <c r="P1240" i="16" s="1"/>
  <c r="AL20" i="19" s="1"/>
  <c r="O287" i="16"/>
  <c r="P251" i="16"/>
  <c r="Q374" i="16"/>
  <c r="P203" i="16"/>
  <c r="O1103" i="16"/>
  <c r="N287" i="16"/>
  <c r="S1170" i="16"/>
  <c r="T1170" i="16"/>
  <c r="T1151" i="16"/>
  <c r="AA1151" i="16" s="1"/>
  <c r="AH1151" i="16" s="1"/>
  <c r="S1155" i="16"/>
  <c r="R478" i="16"/>
  <c r="N478" i="16"/>
  <c r="T746" i="16"/>
  <c r="AA746" i="16" s="1"/>
  <c r="AH746" i="16" s="1"/>
  <c r="S748" i="16"/>
  <c r="P374" i="16"/>
  <c r="P676" i="16"/>
  <c r="Q1039" i="16"/>
  <c r="T752" i="16"/>
  <c r="AA752" i="16" s="1"/>
  <c r="AH752" i="16" s="1"/>
  <c r="S754" i="16"/>
  <c r="P389" i="16"/>
  <c r="O374" i="16"/>
  <c r="P478" i="16"/>
  <c r="O676" i="16"/>
  <c r="S1064" i="16"/>
  <c r="S659" i="16"/>
  <c r="S666" i="16"/>
  <c r="S699" i="16"/>
  <c r="S641" i="16"/>
  <c r="S674" i="16"/>
  <c r="Q676" i="16"/>
  <c r="S536" i="16"/>
  <c r="S425" i="16"/>
  <c r="S1177" i="16"/>
  <c r="Q1103" i="16"/>
  <c r="P633" i="16"/>
  <c r="T730" i="16"/>
  <c r="R439" i="16"/>
  <c r="N439" i="16"/>
  <c r="Q251" i="16"/>
  <c r="O389" i="16"/>
  <c r="O478" i="16"/>
  <c r="S650" i="16"/>
  <c r="S711" i="16"/>
  <c r="O1039" i="16"/>
  <c r="Q287" i="16"/>
  <c r="S730" i="16"/>
  <c r="O203" i="16"/>
  <c r="S600" i="16"/>
  <c r="S1000" i="16"/>
  <c r="R353" i="16"/>
  <c r="T347" i="16"/>
  <c r="AA347" i="16" s="1"/>
  <c r="AH347" i="16" s="1"/>
  <c r="S351" i="16"/>
  <c r="S982" i="16"/>
  <c r="S1006" i="16"/>
  <c r="S1031" i="16"/>
  <c r="S1115" i="16"/>
  <c r="T1189" i="16"/>
  <c r="AA1189" i="16" s="1"/>
  <c r="AH1189" i="16" s="1"/>
  <c r="T1163" i="16"/>
  <c r="T1139" i="16"/>
  <c r="T1133" i="16"/>
  <c r="S1071" i="16"/>
  <c r="T483" i="16"/>
  <c r="AA483" i="16" s="1"/>
  <c r="AH483" i="16" s="1"/>
  <c r="S485" i="16"/>
  <c r="S691" i="16"/>
  <c r="S366" i="16"/>
  <c r="S194" i="16"/>
  <c r="S249" i="16"/>
  <c r="S277" i="16"/>
  <c r="S294" i="16"/>
  <c r="S372" i="16"/>
  <c r="T742" i="16"/>
  <c r="S823" i="16"/>
  <c r="S875" i="16"/>
  <c r="S899" i="16"/>
  <c r="S927" i="16"/>
  <c r="S943" i="16"/>
  <c r="S970" i="16"/>
  <c r="S988" i="16"/>
  <c r="S1163" i="16"/>
  <c r="S1139" i="16"/>
  <c r="S1133" i="16"/>
  <c r="R1103" i="16"/>
  <c r="R1240" i="16" s="1"/>
  <c r="AN20" i="19" s="1"/>
  <c r="S742" i="16"/>
  <c r="S201" i="16"/>
  <c r="S458" i="16"/>
  <c r="T671" i="16"/>
  <c r="AA671" i="16" s="1"/>
  <c r="AH671" i="16" s="1"/>
  <c r="Q353" i="16"/>
  <c r="S243" i="16"/>
  <c r="S271" i="16"/>
  <c r="S325" i="16"/>
  <c r="S431" i="16"/>
  <c r="S491" i="16"/>
  <c r="S575" i="16"/>
  <c r="S592" i="16"/>
  <c r="S210" i="16"/>
  <c r="S212" i="16" s="1"/>
  <c r="S622" i="16"/>
  <c r="S724" i="16"/>
  <c r="S829" i="16"/>
  <c r="S881" i="16"/>
  <c r="S905" i="16"/>
  <c r="S921" i="16"/>
  <c r="S935" i="16"/>
  <c r="S1087" i="16"/>
  <c r="S1079" i="16"/>
  <c r="S1057" i="16"/>
  <c r="S1025" i="16"/>
  <c r="S849" i="16"/>
  <c r="S331" i="16"/>
  <c r="O353" i="16"/>
  <c r="N353" i="16"/>
  <c r="S258" i="16"/>
  <c r="S285" i="16"/>
  <c r="S300" i="16"/>
  <c r="S319" i="16"/>
  <c r="S337" i="16"/>
  <c r="S389" i="16"/>
  <c r="S396" i="16"/>
  <c r="S404" i="16" s="1"/>
  <c r="T435" i="16"/>
  <c r="AA435" i="16" s="1"/>
  <c r="S437" i="16"/>
  <c r="S470" i="16"/>
  <c r="S584" i="16"/>
  <c r="S614" i="16"/>
  <c r="S836" i="16"/>
  <c r="S855" i="16"/>
  <c r="S887" i="16"/>
  <c r="S913" i="16"/>
  <c r="S957" i="16"/>
  <c r="S1013" i="16"/>
  <c r="S1183" i="16"/>
  <c r="T1177" i="16"/>
  <c r="S1121" i="16"/>
  <c r="S1037" i="16"/>
  <c r="O251" i="16"/>
  <c r="Q478" i="16"/>
  <c r="M478" i="16"/>
  <c r="T201" i="16"/>
  <c r="S265" i="16"/>
  <c r="S306" i="16"/>
  <c r="S343" i="16"/>
  <c r="S360" i="16"/>
  <c r="S449" i="16"/>
  <c r="S451" i="16" s="1"/>
  <c r="S476" i="16"/>
  <c r="S608" i="16"/>
  <c r="T734" i="16"/>
  <c r="AA734" i="16" s="1"/>
  <c r="AH734" i="16" s="1"/>
  <c r="S736" i="16"/>
  <c r="T758" i="16"/>
  <c r="AA758" i="16" s="1"/>
  <c r="AH758" i="16" s="1"/>
  <c r="S760" i="16"/>
  <c r="S843" i="16"/>
  <c r="S869" i="16"/>
  <c r="S893" i="16"/>
  <c r="T947" i="16"/>
  <c r="AA947" i="16" s="1"/>
  <c r="AH947" i="16" s="1"/>
  <c r="S951" i="16"/>
  <c r="S1019" i="16"/>
  <c r="T1183" i="16"/>
  <c r="S631" i="16"/>
  <c r="Q439" i="16"/>
  <c r="S413" i="16"/>
  <c r="S415" i="16" s="1"/>
  <c r="P353" i="16"/>
  <c r="P816" i="16"/>
  <c r="N251" i="16"/>
  <c r="R251" i="16"/>
  <c r="N1039" i="16"/>
  <c r="O439" i="16"/>
  <c r="Q203" i="16"/>
  <c r="Q389" i="16"/>
  <c r="P439" i="16"/>
  <c r="O633" i="16"/>
  <c r="R633" i="16"/>
  <c r="N633" i="16"/>
  <c r="Q633" i="16"/>
  <c r="N816" i="16"/>
  <c r="O816" i="16"/>
  <c r="Q816" i="16"/>
  <c r="R1039" i="16"/>
  <c r="P1039" i="16"/>
  <c r="S2274" i="16"/>
  <c r="S2268" i="16"/>
  <c r="T2268" i="16" s="1"/>
  <c r="AA2268" i="16" s="1"/>
  <c r="AH2268" i="16" s="1"/>
  <c r="AH2270" i="16" s="1"/>
  <c r="AJ2270" i="16" s="1"/>
  <c r="S2256" i="16"/>
  <c r="S2244" i="16"/>
  <c r="S2243" i="16"/>
  <c r="S2242" i="16"/>
  <c r="AO46" i="18" s="1"/>
  <c r="AO46" i="5" s="1"/>
  <c r="S2232" i="16"/>
  <c r="T2232" i="16" s="1"/>
  <c r="AA2232" i="16" s="1"/>
  <c r="AH2232" i="16" s="1"/>
  <c r="S2231" i="16"/>
  <c r="T2231" i="16" s="1"/>
  <c r="AA2231" i="16" s="1"/>
  <c r="AH2231" i="16" s="1"/>
  <c r="S2230" i="16"/>
  <c r="T2230" i="16" s="1"/>
  <c r="AA2230" i="16" s="1"/>
  <c r="AH2230" i="16" s="1"/>
  <c r="S2229" i="16"/>
  <c r="T2229" i="16" s="1"/>
  <c r="AA2229" i="16" s="1"/>
  <c r="AH2229" i="16" s="1"/>
  <c r="S2228" i="16"/>
  <c r="T2228" i="16" s="1"/>
  <c r="AA2228" i="16" s="1"/>
  <c r="AH2228" i="16" s="1"/>
  <c r="S2226" i="16"/>
  <c r="S2225" i="16"/>
  <c r="S2224" i="16"/>
  <c r="S2223" i="16"/>
  <c r="S2222" i="16"/>
  <c r="T2222" i="16" s="1"/>
  <c r="AA2222" i="16" s="1"/>
  <c r="AH2222" i="16" s="1"/>
  <c r="S2221" i="16"/>
  <c r="S2220" i="16"/>
  <c r="S2219" i="16"/>
  <c r="S2218" i="16"/>
  <c r="S2217" i="16"/>
  <c r="S2216" i="16"/>
  <c r="S2215" i="16"/>
  <c r="S2214" i="16"/>
  <c r="S2213" i="16"/>
  <c r="S2212" i="16"/>
  <c r="S2211" i="16"/>
  <c r="N2276" i="16"/>
  <c r="O2276" i="16"/>
  <c r="P2276" i="16"/>
  <c r="Q2276" i="16"/>
  <c r="R2276" i="16"/>
  <c r="S2276" i="16"/>
  <c r="N2270" i="16"/>
  <c r="O2270" i="16"/>
  <c r="P2270" i="16"/>
  <c r="Q2270" i="16"/>
  <c r="R2270" i="16"/>
  <c r="N2264" i="16"/>
  <c r="O2264" i="16"/>
  <c r="P2264" i="16"/>
  <c r="Q2264" i="16"/>
  <c r="R2264" i="16"/>
  <c r="S2264" i="16"/>
  <c r="T2264" i="16"/>
  <c r="N2258" i="16"/>
  <c r="O2258" i="16"/>
  <c r="P2258" i="16"/>
  <c r="Q2258" i="16"/>
  <c r="R2258" i="16"/>
  <c r="N2247" i="16"/>
  <c r="N2249" i="16" s="1"/>
  <c r="O2247" i="16"/>
  <c r="O2249" i="16" s="1"/>
  <c r="P2247" i="16"/>
  <c r="P2249" i="16" s="1"/>
  <c r="Q2247" i="16"/>
  <c r="Q2249" i="16" s="1"/>
  <c r="R2247" i="16"/>
  <c r="R2249" i="16" s="1"/>
  <c r="N2236" i="16"/>
  <c r="AJ34" i="19" s="1"/>
  <c r="O2236" i="16"/>
  <c r="AK34" i="19" s="1"/>
  <c r="P2236" i="16"/>
  <c r="AL34" i="19" s="1"/>
  <c r="Q2236" i="16"/>
  <c r="AM34" i="19" s="1"/>
  <c r="R2236" i="16"/>
  <c r="AN34" i="19" s="1"/>
  <c r="N2238" i="16"/>
  <c r="O2238" i="16"/>
  <c r="P2238" i="16"/>
  <c r="Q2238" i="16"/>
  <c r="R2238" i="16"/>
  <c r="N2205" i="16"/>
  <c r="AJ31" i="19" s="1"/>
  <c r="AJ31" i="5" s="1"/>
  <c r="O2205" i="16"/>
  <c r="AK31" i="19" s="1"/>
  <c r="AK31" i="5" s="1"/>
  <c r="P2205" i="16"/>
  <c r="AL31" i="19" s="1"/>
  <c r="AL31" i="5" s="1"/>
  <c r="Q2205" i="16"/>
  <c r="AM31" i="19" s="1"/>
  <c r="AM31" i="5" s="1"/>
  <c r="R2205" i="16"/>
  <c r="AN31" i="19" s="1"/>
  <c r="AN31" i="5" s="1"/>
  <c r="M2205" i="16"/>
  <c r="R2199" i="16"/>
  <c r="Q2199" i="16"/>
  <c r="P2199" i="16"/>
  <c r="O2199" i="16"/>
  <c r="N2199" i="16"/>
  <c r="M2199" i="16"/>
  <c r="K2199" i="16"/>
  <c r="S2197" i="16"/>
  <c r="S2199" i="16" s="1"/>
  <c r="L2199" i="16"/>
  <c r="M2174" i="16"/>
  <c r="N2174" i="16"/>
  <c r="O2174" i="16"/>
  <c r="P2174" i="16"/>
  <c r="Q2174" i="16"/>
  <c r="AM29" i="18" s="1"/>
  <c r="R2174" i="16"/>
  <c r="AN29" i="18" s="1"/>
  <c r="S1965" i="16"/>
  <c r="T1965" i="16" s="1"/>
  <c r="M1967" i="16"/>
  <c r="N1967" i="16"/>
  <c r="O1967" i="16"/>
  <c r="P1967" i="16"/>
  <c r="Q1967" i="16"/>
  <c r="R1967" i="16"/>
  <c r="L1967" i="16"/>
  <c r="N2036" i="16"/>
  <c r="AJ26" i="19" s="1"/>
  <c r="O2036" i="16"/>
  <c r="AK26" i="19" s="1"/>
  <c r="P2036" i="16"/>
  <c r="AL26" i="19" s="1"/>
  <c r="Q2036" i="16"/>
  <c r="AM26" i="19" s="1"/>
  <c r="R2036" i="16"/>
  <c r="AN26" i="19" s="1"/>
  <c r="M2036" i="16"/>
  <c r="AA1185" i="16" l="1"/>
  <c r="AJ947" i="16"/>
  <c r="AJ1161" i="16"/>
  <c r="AJ758" i="16"/>
  <c r="AH760" i="16"/>
  <c r="AJ760" i="16" s="1"/>
  <c r="AA437" i="16"/>
  <c r="AH435" i="16"/>
  <c r="AJ671" i="16"/>
  <c r="AJ483" i="16"/>
  <c r="AH485" i="16"/>
  <c r="AJ485" i="16" s="1"/>
  <c r="AJ752" i="16"/>
  <c r="AH754" i="16"/>
  <c r="AJ754" i="16" s="1"/>
  <c r="AJ1181" i="16"/>
  <c r="AH1183" i="16"/>
  <c r="AJ1183" i="16" s="1"/>
  <c r="AJ1189" i="16"/>
  <c r="AH1191" i="16"/>
  <c r="AJ1191" i="16" s="1"/>
  <c r="AJ746" i="16"/>
  <c r="AH748" i="16"/>
  <c r="AJ748" i="16" s="1"/>
  <c r="AJ1151" i="16"/>
  <c r="AH1155" i="16"/>
  <c r="AJ1155" i="16" s="1"/>
  <c r="AH1170" i="16"/>
  <c r="AJ1170" i="16" s="1"/>
  <c r="AJ734" i="16"/>
  <c r="AH736" i="16"/>
  <c r="AJ736" i="16" s="1"/>
  <c r="AJ347" i="16"/>
  <c r="AH351" i="16"/>
  <c r="AJ351" i="16" s="1"/>
  <c r="AA2270" i="16"/>
  <c r="AA736" i="16"/>
  <c r="AA760" i="16"/>
  <c r="AA485" i="16"/>
  <c r="AA754" i="16"/>
  <c r="AA1191" i="16"/>
  <c r="AA748" i="16"/>
  <c r="AA351" i="16"/>
  <c r="AA1155" i="16"/>
  <c r="S203" i="16"/>
  <c r="T1147" i="16"/>
  <c r="AA1143" i="16"/>
  <c r="T1967" i="16"/>
  <c r="AA1965" i="16"/>
  <c r="AH1965" i="16" s="1"/>
  <c r="AH1967" i="16" s="1"/>
  <c r="AJ1967" i="16" s="1"/>
  <c r="Q2286" i="16"/>
  <c r="AO48" i="18"/>
  <c r="AO48" i="5" s="1"/>
  <c r="P2286" i="16"/>
  <c r="O2286" i="16"/>
  <c r="T2256" i="16"/>
  <c r="AA2256" i="16" s="1"/>
  <c r="AH2256" i="16" s="1"/>
  <c r="R2286" i="16"/>
  <c r="N2286" i="16"/>
  <c r="Q1240" i="16"/>
  <c r="AM20" i="19" s="1"/>
  <c r="T2274" i="16"/>
  <c r="T2276" i="16" s="1"/>
  <c r="S2284" i="16"/>
  <c r="AO36" i="18" s="1"/>
  <c r="AO36" i="5" s="1"/>
  <c r="S863" i="16"/>
  <c r="N406" i="16"/>
  <c r="R406" i="16"/>
  <c r="Q406" i="16"/>
  <c r="O406" i="16"/>
  <c r="S374" i="16"/>
  <c r="P406" i="16"/>
  <c r="R2234" i="16"/>
  <c r="AN34" i="18" s="1"/>
  <c r="AN34" i="5" s="1"/>
  <c r="N2234" i="16"/>
  <c r="AJ34" i="18" s="1"/>
  <c r="T1155" i="16"/>
  <c r="T754" i="16"/>
  <c r="Q2234" i="16"/>
  <c r="AM34" i="18" s="1"/>
  <c r="AM34" i="5" s="1"/>
  <c r="S1185" i="16"/>
  <c r="T748" i="16"/>
  <c r="S478" i="16"/>
  <c r="S676" i="16"/>
  <c r="S2247" i="16"/>
  <c r="S2249" i="16" s="1"/>
  <c r="S287" i="16"/>
  <c r="S251" i="16"/>
  <c r="S816" i="16"/>
  <c r="T1191" i="16"/>
  <c r="T2270" i="16"/>
  <c r="S633" i="16"/>
  <c r="O2234" i="16"/>
  <c r="AK34" i="18" s="1"/>
  <c r="S2270" i="16"/>
  <c r="T437" i="16"/>
  <c r="S353" i="16"/>
  <c r="T736" i="16"/>
  <c r="T1185" i="16"/>
  <c r="S1039" i="16"/>
  <c r="S1103" i="16"/>
  <c r="T485" i="16"/>
  <c r="T351" i="16"/>
  <c r="T760" i="16"/>
  <c r="S439" i="16"/>
  <c r="P2234" i="16"/>
  <c r="AL34" i="18" s="1"/>
  <c r="T2258" i="16"/>
  <c r="S2258" i="16"/>
  <c r="S2238" i="16"/>
  <c r="S2236" i="16"/>
  <c r="AO34" i="19" s="1"/>
  <c r="S1967" i="16"/>
  <c r="T2197" i="16"/>
  <c r="S1959" i="16"/>
  <c r="T1959" i="16" s="1"/>
  <c r="AA1959" i="16" s="1"/>
  <c r="AH1959" i="16" s="1"/>
  <c r="S1806" i="16"/>
  <c r="T1806" i="16" s="1"/>
  <c r="AA1806" i="16" s="1"/>
  <c r="AH1806" i="16" s="1"/>
  <c r="S1807" i="16"/>
  <c r="T1807" i="16" s="1"/>
  <c r="AA1807" i="16" s="1"/>
  <c r="AH1807" i="16" s="1"/>
  <c r="S1798" i="16"/>
  <c r="T1798" i="16" s="1"/>
  <c r="AA1798" i="16" s="1"/>
  <c r="AH1798" i="16" s="1"/>
  <c r="S1726" i="16"/>
  <c r="T1726" i="16" s="1"/>
  <c r="AA1726" i="16" s="1"/>
  <c r="AH1726" i="16" s="1"/>
  <c r="AJ1726" i="16" s="1"/>
  <c r="S1723" i="16"/>
  <c r="T1723" i="16" s="1"/>
  <c r="AA1723" i="16" s="1"/>
  <c r="AH1723" i="16" s="1"/>
  <c r="AJ1723" i="16" s="1"/>
  <c r="S1542" i="16"/>
  <c r="T1542" i="16" s="1"/>
  <c r="R1544" i="16"/>
  <c r="Q1544" i="16"/>
  <c r="P1544" i="16"/>
  <c r="O1544" i="16"/>
  <c r="N1544" i="16"/>
  <c r="M1544" i="16"/>
  <c r="L1544" i="16"/>
  <c r="K1544" i="16"/>
  <c r="S1425" i="16"/>
  <c r="T1425" i="16" s="1"/>
  <c r="AA1425" i="16" s="1"/>
  <c r="AH1425" i="16" s="1"/>
  <c r="N1258" i="16"/>
  <c r="O1258" i="16"/>
  <c r="P1258" i="16"/>
  <c r="Q1258" i="16"/>
  <c r="R1258" i="16"/>
  <c r="N1268" i="16"/>
  <c r="O1268" i="16"/>
  <c r="P1268" i="16"/>
  <c r="Q1268" i="16"/>
  <c r="R1268" i="16"/>
  <c r="N1274" i="16"/>
  <c r="O1274" i="16"/>
  <c r="P1274" i="16"/>
  <c r="Q1274" i="16"/>
  <c r="R1274" i="16"/>
  <c r="M1281" i="16"/>
  <c r="N1281" i="16"/>
  <c r="O1281" i="16"/>
  <c r="P1281" i="16"/>
  <c r="Q1281" i="16"/>
  <c r="R1281" i="16"/>
  <c r="N1287" i="16"/>
  <c r="O1287" i="16"/>
  <c r="P1287" i="16"/>
  <c r="Q1287" i="16"/>
  <c r="R1287" i="16"/>
  <c r="N1298" i="16"/>
  <c r="O1298" i="16"/>
  <c r="P1298" i="16"/>
  <c r="Q1298" i="16"/>
  <c r="R1298" i="16"/>
  <c r="N1304" i="16"/>
  <c r="O1304" i="16"/>
  <c r="P1304" i="16"/>
  <c r="Q1304" i="16"/>
  <c r="R1304" i="16"/>
  <c r="N1310" i="16"/>
  <c r="O1310" i="16"/>
  <c r="P1310" i="16"/>
  <c r="Q1310" i="16"/>
  <c r="R1310" i="16"/>
  <c r="M1316" i="16"/>
  <c r="N1316" i="16"/>
  <c r="O1316" i="16"/>
  <c r="P1316" i="16"/>
  <c r="Q1316" i="16"/>
  <c r="R1316" i="16"/>
  <c r="N1327" i="16"/>
  <c r="O1327" i="16"/>
  <c r="P1327" i="16"/>
  <c r="Q1327" i="16"/>
  <c r="R1327" i="16"/>
  <c r="N1333" i="16"/>
  <c r="O1333" i="16"/>
  <c r="P1333" i="16"/>
  <c r="Q1333" i="16"/>
  <c r="R1333" i="16"/>
  <c r="N1339" i="16"/>
  <c r="O1339" i="16"/>
  <c r="P1339" i="16"/>
  <c r="Q1339" i="16"/>
  <c r="R1339" i="16"/>
  <c r="N1345" i="16"/>
  <c r="O1345" i="16"/>
  <c r="P1345" i="16"/>
  <c r="Q1345" i="16"/>
  <c r="R1345" i="16"/>
  <c r="N1351" i="16"/>
  <c r="O1351" i="16"/>
  <c r="P1351" i="16"/>
  <c r="Q1351" i="16"/>
  <c r="R1351" i="16"/>
  <c r="M1357" i="16"/>
  <c r="N1357" i="16"/>
  <c r="O1357" i="16"/>
  <c r="P1357" i="16"/>
  <c r="Q1357" i="16"/>
  <c r="R1357" i="16"/>
  <c r="N1363" i="16"/>
  <c r="O1363" i="16"/>
  <c r="P1363" i="16"/>
  <c r="Q1363" i="16"/>
  <c r="R1363" i="16"/>
  <c r="N1371" i="16"/>
  <c r="O1371" i="16"/>
  <c r="P1371" i="16"/>
  <c r="Q1371" i="16"/>
  <c r="R1371" i="16"/>
  <c r="N1377" i="16"/>
  <c r="O1377" i="16"/>
  <c r="P1377" i="16"/>
  <c r="Q1377" i="16"/>
  <c r="R1377" i="16"/>
  <c r="N1383" i="16"/>
  <c r="O1383" i="16"/>
  <c r="P1383" i="16"/>
  <c r="Q1383" i="16"/>
  <c r="R1383" i="16"/>
  <c r="N1389" i="16"/>
  <c r="O1389" i="16"/>
  <c r="P1389" i="16"/>
  <c r="Q1389" i="16"/>
  <c r="R1389" i="16"/>
  <c r="N1395" i="16"/>
  <c r="O1395" i="16"/>
  <c r="P1395" i="16"/>
  <c r="Q1395" i="16"/>
  <c r="R1395" i="16"/>
  <c r="N1401" i="16"/>
  <c r="O1401" i="16"/>
  <c r="P1401" i="16"/>
  <c r="Q1401" i="16"/>
  <c r="R1401" i="16"/>
  <c r="N1405" i="16"/>
  <c r="AJ21" i="19" s="1"/>
  <c r="O1405" i="16"/>
  <c r="AK21" i="19" s="1"/>
  <c r="P1405" i="16"/>
  <c r="AL21" i="19" s="1"/>
  <c r="Q1405" i="16"/>
  <c r="AM21" i="19" s="1"/>
  <c r="R1405" i="16"/>
  <c r="AN21" i="19" s="1"/>
  <c r="N1415" i="16"/>
  <c r="O1415" i="16"/>
  <c r="P1415" i="16"/>
  <c r="Q1415" i="16"/>
  <c r="R1415" i="16"/>
  <c r="M1421" i="16"/>
  <c r="N1421" i="16"/>
  <c r="O1421" i="16"/>
  <c r="P1421" i="16"/>
  <c r="Q1421" i="16"/>
  <c r="R1421" i="16"/>
  <c r="N1429" i="16"/>
  <c r="O1429" i="16"/>
  <c r="P1429" i="16"/>
  <c r="Q1429" i="16"/>
  <c r="R1429" i="16"/>
  <c r="M1435" i="16"/>
  <c r="N1435" i="16"/>
  <c r="O1435" i="16"/>
  <c r="P1435" i="16"/>
  <c r="Q1435" i="16"/>
  <c r="R1435" i="16"/>
  <c r="N1441" i="16"/>
  <c r="O1441" i="16"/>
  <c r="P1441" i="16"/>
  <c r="Q1441" i="16"/>
  <c r="R1441" i="16"/>
  <c r="N1447" i="16"/>
  <c r="O1447" i="16"/>
  <c r="P1447" i="16"/>
  <c r="Q1447" i="16"/>
  <c r="R1447" i="16"/>
  <c r="N1453" i="16"/>
  <c r="O1453" i="16"/>
  <c r="P1453" i="16"/>
  <c r="Q1453" i="16"/>
  <c r="R1453" i="16"/>
  <c r="N1459" i="16"/>
  <c r="O1459" i="16"/>
  <c r="P1459" i="16"/>
  <c r="Q1459" i="16"/>
  <c r="R1459" i="16"/>
  <c r="N1465" i="16"/>
  <c r="O1465" i="16"/>
  <c r="P1465" i="16"/>
  <c r="Q1465" i="16"/>
  <c r="R1465" i="16"/>
  <c r="N1471" i="16"/>
  <c r="O1471" i="16"/>
  <c r="P1471" i="16"/>
  <c r="Q1471" i="16"/>
  <c r="R1471" i="16"/>
  <c r="N1477" i="16"/>
  <c r="O1477" i="16"/>
  <c r="P1477" i="16"/>
  <c r="Q1477" i="16"/>
  <c r="R1477" i="16"/>
  <c r="N1486" i="16"/>
  <c r="O1486" i="16"/>
  <c r="P1486" i="16"/>
  <c r="Q1486" i="16"/>
  <c r="R1486" i="16"/>
  <c r="N1494" i="16"/>
  <c r="O1494" i="16"/>
  <c r="P1494" i="16"/>
  <c r="Q1494" i="16"/>
  <c r="R1494" i="16"/>
  <c r="M1504" i="16"/>
  <c r="N1504" i="16"/>
  <c r="O1504" i="16"/>
  <c r="P1504" i="16"/>
  <c r="Q1504" i="16"/>
  <c r="R1504" i="16"/>
  <c r="M1512" i="16"/>
  <c r="N1512" i="16"/>
  <c r="O1512" i="16"/>
  <c r="P1512" i="16"/>
  <c r="Q1512" i="16"/>
  <c r="R1512" i="16"/>
  <c r="M1520" i="16"/>
  <c r="N1520" i="16"/>
  <c r="O1520" i="16"/>
  <c r="P1520" i="16"/>
  <c r="Q1520" i="16"/>
  <c r="R1520" i="16"/>
  <c r="N1528" i="16"/>
  <c r="O1528" i="16"/>
  <c r="P1528" i="16"/>
  <c r="Q1528" i="16"/>
  <c r="R1528" i="16"/>
  <c r="N1538" i="16"/>
  <c r="O1538" i="16"/>
  <c r="P1538" i="16"/>
  <c r="Q1538" i="16"/>
  <c r="R1538" i="16"/>
  <c r="N1561" i="16"/>
  <c r="O1561" i="16"/>
  <c r="P1561" i="16"/>
  <c r="Q1561" i="16"/>
  <c r="R1561" i="16"/>
  <c r="N1569" i="16"/>
  <c r="O1569" i="16"/>
  <c r="P1569" i="16"/>
  <c r="Q1569" i="16"/>
  <c r="R1569" i="16"/>
  <c r="N1577" i="16"/>
  <c r="O1577" i="16"/>
  <c r="P1577" i="16"/>
  <c r="Q1577" i="16"/>
  <c r="R1577" i="16"/>
  <c r="M1585" i="16"/>
  <c r="N1585" i="16"/>
  <c r="O1585" i="16"/>
  <c r="P1585" i="16"/>
  <c r="Q1585" i="16"/>
  <c r="R1585" i="16"/>
  <c r="M1595" i="16"/>
  <c r="N1595" i="16"/>
  <c r="O1595" i="16"/>
  <c r="P1595" i="16"/>
  <c r="Q1595" i="16"/>
  <c r="R1595" i="16"/>
  <c r="M1606" i="16"/>
  <c r="N1606" i="16"/>
  <c r="O1606" i="16"/>
  <c r="P1606" i="16"/>
  <c r="Q1606" i="16"/>
  <c r="R1606" i="16"/>
  <c r="N1614" i="16"/>
  <c r="O1614" i="16"/>
  <c r="P1614" i="16"/>
  <c r="Q1614" i="16"/>
  <c r="R1614" i="16"/>
  <c r="M1622" i="16"/>
  <c r="N1622" i="16"/>
  <c r="O1622" i="16"/>
  <c r="P1622" i="16"/>
  <c r="Q1622" i="16"/>
  <c r="R1622" i="16"/>
  <c r="M1630" i="16"/>
  <c r="N1630" i="16"/>
  <c r="O1630" i="16"/>
  <c r="P1630" i="16"/>
  <c r="Q1630" i="16"/>
  <c r="R1630" i="16"/>
  <c r="M1638" i="16"/>
  <c r="N1638" i="16"/>
  <c r="O1638" i="16"/>
  <c r="P1638" i="16"/>
  <c r="Q1638" i="16"/>
  <c r="R1638" i="16"/>
  <c r="N1646" i="16"/>
  <c r="O1646" i="16"/>
  <c r="P1646" i="16"/>
  <c r="Q1646" i="16"/>
  <c r="R1646" i="16"/>
  <c r="M1654" i="16"/>
  <c r="N1654" i="16"/>
  <c r="O1654" i="16"/>
  <c r="P1654" i="16"/>
  <c r="Q1654" i="16"/>
  <c r="R1654" i="16"/>
  <c r="M1662" i="16"/>
  <c r="N1662" i="16"/>
  <c r="O1662" i="16"/>
  <c r="P1662" i="16"/>
  <c r="Q1662" i="16"/>
  <c r="R1662" i="16"/>
  <c r="N1670" i="16"/>
  <c r="O1670" i="16"/>
  <c r="P1670" i="16"/>
  <c r="Q1670" i="16"/>
  <c r="R1670" i="16"/>
  <c r="M1678" i="16"/>
  <c r="N1678" i="16"/>
  <c r="O1678" i="16"/>
  <c r="P1678" i="16"/>
  <c r="Q1678" i="16"/>
  <c r="R1678" i="16"/>
  <c r="M1686" i="16"/>
  <c r="N1686" i="16"/>
  <c r="O1686" i="16"/>
  <c r="P1686" i="16"/>
  <c r="Q1686" i="16"/>
  <c r="R1686" i="16"/>
  <c r="M1694" i="16"/>
  <c r="N1694" i="16"/>
  <c r="O1694" i="16"/>
  <c r="P1694" i="16"/>
  <c r="Q1694" i="16"/>
  <c r="R1694" i="16"/>
  <c r="N1702" i="16"/>
  <c r="O1702" i="16"/>
  <c r="P1702" i="16"/>
  <c r="Q1702" i="16"/>
  <c r="R1702" i="16"/>
  <c r="M1710" i="16"/>
  <c r="N1710" i="16"/>
  <c r="O1710" i="16"/>
  <c r="P1710" i="16"/>
  <c r="Q1710" i="16"/>
  <c r="R1710" i="16"/>
  <c r="M1718" i="16"/>
  <c r="N1718" i="16"/>
  <c r="O1718" i="16"/>
  <c r="P1718" i="16"/>
  <c r="Q1718" i="16"/>
  <c r="R1718" i="16"/>
  <c r="M1728" i="16"/>
  <c r="N1728" i="16"/>
  <c r="O1728" i="16"/>
  <c r="P1728" i="16"/>
  <c r="Q1728" i="16"/>
  <c r="R1728" i="16"/>
  <c r="M1734" i="16"/>
  <c r="N1734" i="16"/>
  <c r="O1734" i="16"/>
  <c r="O1752" i="16" s="1"/>
  <c r="AK25" i="19" s="1"/>
  <c r="P1734" i="16"/>
  <c r="Q1734" i="16"/>
  <c r="Q1752" i="16" s="1"/>
  <c r="AM25" i="19" s="1"/>
  <c r="R1734" i="16"/>
  <c r="N1748" i="16"/>
  <c r="O1748" i="16"/>
  <c r="P1748" i="16"/>
  <c r="Q1748" i="16"/>
  <c r="R1748" i="16"/>
  <c r="N1761" i="16"/>
  <c r="O1761" i="16"/>
  <c r="P1761" i="16"/>
  <c r="Q1761" i="16"/>
  <c r="R1761" i="16"/>
  <c r="N1767" i="16"/>
  <c r="O1767" i="16"/>
  <c r="P1767" i="16"/>
  <c r="Q1767" i="16"/>
  <c r="R1767" i="16"/>
  <c r="N1774" i="16"/>
  <c r="O1774" i="16"/>
  <c r="P1774" i="16"/>
  <c r="Q1774" i="16"/>
  <c r="R1774" i="16"/>
  <c r="N1780" i="16"/>
  <c r="O1780" i="16"/>
  <c r="P1780" i="16"/>
  <c r="Q1780" i="16"/>
  <c r="R1780" i="16"/>
  <c r="N1788" i="16"/>
  <c r="O1788" i="16"/>
  <c r="P1788" i="16"/>
  <c r="Q1788" i="16"/>
  <c r="R1788" i="16"/>
  <c r="N1794" i="16"/>
  <c r="O1794" i="16"/>
  <c r="P1794" i="16"/>
  <c r="Q1794" i="16"/>
  <c r="R1794" i="16"/>
  <c r="N1802" i="16"/>
  <c r="O1802" i="16"/>
  <c r="P1802" i="16"/>
  <c r="Q1802" i="16"/>
  <c r="R1802" i="16"/>
  <c r="N1811" i="16"/>
  <c r="O1811" i="16"/>
  <c r="P1811" i="16"/>
  <c r="Q1811" i="16"/>
  <c r="R1811" i="16"/>
  <c r="N1817" i="16"/>
  <c r="O1817" i="16"/>
  <c r="P1817" i="16"/>
  <c r="Q1817" i="16"/>
  <c r="R1817" i="16"/>
  <c r="M1825" i="16"/>
  <c r="N1825" i="16"/>
  <c r="O1825" i="16"/>
  <c r="P1825" i="16"/>
  <c r="Q1825" i="16"/>
  <c r="R1825" i="16"/>
  <c r="N1831" i="16"/>
  <c r="O1831" i="16"/>
  <c r="P1831" i="16"/>
  <c r="Q1831" i="16"/>
  <c r="R1831" i="16"/>
  <c r="M1837" i="16"/>
  <c r="N1837" i="16"/>
  <c r="O1837" i="16"/>
  <c r="P1837" i="16"/>
  <c r="Q1837" i="16"/>
  <c r="R1837" i="16"/>
  <c r="M1843" i="16"/>
  <c r="N1843" i="16"/>
  <c r="O1843" i="16"/>
  <c r="P1843" i="16"/>
  <c r="Q1843" i="16"/>
  <c r="R1843" i="16"/>
  <c r="N1851" i="16"/>
  <c r="O1851" i="16"/>
  <c r="P1851" i="16"/>
  <c r="Q1851" i="16"/>
  <c r="R1851" i="16"/>
  <c r="M1857" i="16"/>
  <c r="N1857" i="16"/>
  <c r="O1857" i="16"/>
  <c r="P1857" i="16"/>
  <c r="Q1857" i="16"/>
  <c r="R1857" i="16"/>
  <c r="M1868" i="16"/>
  <c r="N1868" i="16"/>
  <c r="O1868" i="16"/>
  <c r="P1868" i="16"/>
  <c r="Q1868" i="16"/>
  <c r="R1868" i="16"/>
  <c r="M1878" i="16"/>
  <c r="N1878" i="16"/>
  <c r="O1878" i="16"/>
  <c r="P1878" i="16"/>
  <c r="Q1878" i="16"/>
  <c r="R1878" i="16"/>
  <c r="M1884" i="16"/>
  <c r="N1884" i="16"/>
  <c r="O1884" i="16"/>
  <c r="P1884" i="16"/>
  <c r="Q1884" i="16"/>
  <c r="R1884" i="16"/>
  <c r="M1892" i="16"/>
  <c r="N1892" i="16"/>
  <c r="O1892" i="16"/>
  <c r="P1892" i="16"/>
  <c r="Q1892" i="16"/>
  <c r="R1892" i="16"/>
  <c r="M1898" i="16"/>
  <c r="N1898" i="16"/>
  <c r="N1906" i="16" s="1"/>
  <c r="O1898" i="16"/>
  <c r="O1906" i="16" s="1"/>
  <c r="P1898" i="16"/>
  <c r="Q1898" i="16"/>
  <c r="R1898" i="16"/>
  <c r="N1912" i="16"/>
  <c r="O1912" i="16"/>
  <c r="P1912" i="16"/>
  <c r="Q1912" i="16"/>
  <c r="R1912" i="16"/>
  <c r="N1918" i="16"/>
  <c r="O1918" i="16"/>
  <c r="P1918" i="16"/>
  <c r="Q1918" i="16"/>
  <c r="R1918" i="16"/>
  <c r="N1924" i="16"/>
  <c r="O1924" i="16"/>
  <c r="P1924" i="16"/>
  <c r="Q1924" i="16"/>
  <c r="R1924" i="16"/>
  <c r="N1930" i="16"/>
  <c r="O1930" i="16"/>
  <c r="P1930" i="16"/>
  <c r="Q1930" i="16"/>
  <c r="R1930" i="16"/>
  <c r="N1936" i="16"/>
  <c r="O1936" i="16"/>
  <c r="P1936" i="16"/>
  <c r="Q1936" i="16"/>
  <c r="R1936" i="16"/>
  <c r="N1942" i="16"/>
  <c r="O1942" i="16"/>
  <c r="P1942" i="16"/>
  <c r="Q1942" i="16"/>
  <c r="R1942" i="16"/>
  <c r="N1948" i="16"/>
  <c r="O1948" i="16"/>
  <c r="P1948" i="16"/>
  <c r="Q1948" i="16"/>
  <c r="R1948" i="16"/>
  <c r="N1954" i="16"/>
  <c r="O1954" i="16"/>
  <c r="P1954" i="16"/>
  <c r="Q1954" i="16"/>
  <c r="R1954" i="16"/>
  <c r="N1961" i="16"/>
  <c r="O1961" i="16"/>
  <c r="P1961" i="16"/>
  <c r="Q1961" i="16"/>
  <c r="R1961" i="16"/>
  <c r="N2045" i="16"/>
  <c r="N2047" i="16" s="1"/>
  <c r="O2045" i="16"/>
  <c r="O2047" i="16" s="1"/>
  <c r="P2045" i="16"/>
  <c r="P2047" i="16" s="1"/>
  <c r="Q2045" i="16"/>
  <c r="Q2047" i="16" s="1"/>
  <c r="R2045" i="16"/>
  <c r="R2047" i="16" s="1"/>
  <c r="M2065" i="16"/>
  <c r="N2065" i="16"/>
  <c r="O2065" i="16"/>
  <c r="P2065" i="16"/>
  <c r="Q2065" i="16"/>
  <c r="R2065" i="16"/>
  <c r="M2071" i="16"/>
  <c r="N2071" i="16"/>
  <c r="O2071" i="16"/>
  <c r="P2071" i="16"/>
  <c r="Q2071" i="16"/>
  <c r="R2071" i="16"/>
  <c r="N2077" i="16"/>
  <c r="O2077" i="16"/>
  <c r="P2077" i="16"/>
  <c r="Q2077" i="16"/>
  <c r="R2077" i="16"/>
  <c r="N2083" i="16"/>
  <c r="O2083" i="16"/>
  <c r="P2083" i="16"/>
  <c r="Q2083" i="16"/>
  <c r="R2083" i="16"/>
  <c r="N2089" i="16"/>
  <c r="O2089" i="16"/>
  <c r="P2089" i="16"/>
  <c r="Q2089" i="16"/>
  <c r="R2089" i="16"/>
  <c r="N2095" i="16"/>
  <c r="O2095" i="16"/>
  <c r="P2095" i="16"/>
  <c r="Q2095" i="16"/>
  <c r="R2095" i="16"/>
  <c r="N2110" i="16"/>
  <c r="O2110" i="16"/>
  <c r="P2110" i="16"/>
  <c r="Q2110" i="16"/>
  <c r="R2110" i="16"/>
  <c r="N2117" i="16"/>
  <c r="O2117" i="16"/>
  <c r="P2117" i="16"/>
  <c r="Q2117" i="16"/>
  <c r="R2117" i="16"/>
  <c r="N2123" i="16"/>
  <c r="O2123" i="16"/>
  <c r="P2123" i="16"/>
  <c r="Q2123" i="16"/>
  <c r="R2123" i="16"/>
  <c r="N2129" i="16"/>
  <c r="O2129" i="16"/>
  <c r="P2129" i="16"/>
  <c r="Q2129" i="16"/>
  <c r="R2129" i="16"/>
  <c r="N2135" i="16"/>
  <c r="O2135" i="16"/>
  <c r="P2135" i="16"/>
  <c r="Q2135" i="16"/>
  <c r="R2135" i="16"/>
  <c r="N2142" i="16"/>
  <c r="O2142" i="16"/>
  <c r="P2142" i="16"/>
  <c r="Q2142" i="16"/>
  <c r="R2142" i="16"/>
  <c r="N2187" i="16"/>
  <c r="O2187" i="16"/>
  <c r="P2187" i="16"/>
  <c r="Q2187" i="16"/>
  <c r="R2187" i="16"/>
  <c r="N2193" i="16"/>
  <c r="O2193" i="16"/>
  <c r="P2193" i="16"/>
  <c r="Q2193" i="16"/>
  <c r="R2193" i="16"/>
  <c r="N2203" i="16"/>
  <c r="N2207" i="16" s="1"/>
  <c r="O2203" i="16"/>
  <c r="O2207" i="16" s="1"/>
  <c r="P2203" i="16"/>
  <c r="P2207" i="16" s="1"/>
  <c r="Q2203" i="16"/>
  <c r="Q2207" i="16" s="1"/>
  <c r="R2203" i="16"/>
  <c r="R2207" i="16" s="1"/>
  <c r="S2191" i="16"/>
  <c r="S2185" i="16"/>
  <c r="AO31" i="18" s="1"/>
  <c r="S2140" i="16"/>
  <c r="T2140" i="16" s="1"/>
  <c r="S2133" i="16"/>
  <c r="T2133" i="16" s="1"/>
  <c r="S2127" i="16"/>
  <c r="T2127" i="16" s="1"/>
  <c r="S2121" i="16"/>
  <c r="S2114" i="16"/>
  <c r="T2114" i="16" s="1"/>
  <c r="AA2114" i="16" s="1"/>
  <c r="AH2114" i="16" s="1"/>
  <c r="AH2117" i="16" s="1"/>
  <c r="S2100" i="16"/>
  <c r="S2093" i="16"/>
  <c r="S2087" i="16"/>
  <c r="S2081" i="16"/>
  <c r="T2081" i="16" s="1"/>
  <c r="AA2081" i="16" s="1"/>
  <c r="AH2081" i="16" s="1"/>
  <c r="S2075" i="16"/>
  <c r="T2075" i="16" s="1"/>
  <c r="AA2075" i="16" s="1"/>
  <c r="AH2075" i="16" s="1"/>
  <c r="S2069" i="16"/>
  <c r="S2063" i="16"/>
  <c r="S2043" i="16"/>
  <c r="T2043" i="16" s="1"/>
  <c r="AA2043" i="16" s="1"/>
  <c r="AH2043" i="16" s="1"/>
  <c r="S1958" i="16"/>
  <c r="T1958" i="16" s="1"/>
  <c r="AA1958" i="16" s="1"/>
  <c r="AH1958" i="16" s="1"/>
  <c r="S1952" i="16"/>
  <c r="S1946" i="16"/>
  <c r="S1940" i="16"/>
  <c r="T1940" i="16" s="1"/>
  <c r="S1934" i="16"/>
  <c r="T1934" i="16" s="1"/>
  <c r="AA1934" i="16" s="1"/>
  <c r="AH1934" i="16" s="1"/>
  <c r="S1928" i="16"/>
  <c r="S1922" i="16"/>
  <c r="S1916" i="16"/>
  <c r="T1916" i="16" s="1"/>
  <c r="AA1916" i="16" s="1"/>
  <c r="AH1916" i="16" s="1"/>
  <c r="S1910" i="16"/>
  <c r="T1910" i="16" s="1"/>
  <c r="AA1910" i="16" s="1"/>
  <c r="AH1910" i="16" s="1"/>
  <c r="S1904" i="16"/>
  <c r="T1904" i="16" s="1"/>
  <c r="AA1904" i="16" s="1"/>
  <c r="AH1904" i="16" s="1"/>
  <c r="S1902" i="16"/>
  <c r="S1896" i="16"/>
  <c r="T1896" i="16" s="1"/>
  <c r="S1890" i="16"/>
  <c r="T1890" i="16" s="1"/>
  <c r="S1882" i="16"/>
  <c r="T1882" i="16" s="1"/>
  <c r="AA1882" i="16" s="1"/>
  <c r="AH1882" i="16" s="1"/>
  <c r="S1876" i="16"/>
  <c r="S1874" i="16"/>
  <c r="S1873" i="16"/>
  <c r="S1872" i="16"/>
  <c r="S1865" i="16"/>
  <c r="S1863" i="16"/>
  <c r="S1862" i="16"/>
  <c r="S1861" i="16"/>
  <c r="S1855" i="16"/>
  <c r="S1849" i="16"/>
  <c r="S1847" i="16"/>
  <c r="S1841" i="16"/>
  <c r="S1843" i="16" s="1"/>
  <c r="S1835" i="16"/>
  <c r="S1829" i="16"/>
  <c r="S1823" i="16"/>
  <c r="S1821" i="16"/>
  <c r="S1815" i="16"/>
  <c r="S1809" i="16"/>
  <c r="S1800" i="16"/>
  <c r="S1792" i="16"/>
  <c r="S1786" i="16"/>
  <c r="S1778" i="16"/>
  <c r="S1780" i="16" s="1"/>
  <c r="S1772" i="16"/>
  <c r="S1765" i="16"/>
  <c r="S1759" i="16"/>
  <c r="S1758" i="16"/>
  <c r="S1746" i="16"/>
  <c r="S1732" i="16"/>
  <c r="S1725" i="16"/>
  <c r="S1722" i="16"/>
  <c r="S1716" i="16"/>
  <c r="S1714" i="16"/>
  <c r="S1708" i="16"/>
  <c r="S1706" i="16"/>
  <c r="S1700" i="16"/>
  <c r="S1698" i="16"/>
  <c r="S1692" i="16"/>
  <c r="S1690" i="16"/>
  <c r="S1684" i="16"/>
  <c r="S1682" i="16"/>
  <c r="S1676" i="16"/>
  <c r="S1674" i="16"/>
  <c r="S1668" i="16"/>
  <c r="S1666" i="16"/>
  <c r="S1660" i="16"/>
  <c r="S1658" i="16"/>
  <c r="S1652" i="16"/>
  <c r="S1650" i="16"/>
  <c r="S1644" i="16"/>
  <c r="S1642" i="16"/>
  <c r="S1636" i="16"/>
  <c r="S1634" i="16"/>
  <c r="S1628" i="16"/>
  <c r="S1626" i="16"/>
  <c r="S1620" i="16"/>
  <c r="S1618" i="16"/>
  <c r="S1612" i="16"/>
  <c r="S1610" i="16"/>
  <c r="S1604" i="16"/>
  <c r="S1602" i="16"/>
  <c r="S1593" i="16"/>
  <c r="S1591" i="16"/>
  <c r="S1583" i="16"/>
  <c r="S1581" i="16"/>
  <c r="S1575" i="16"/>
  <c r="S1573" i="16"/>
  <c r="S1567" i="16"/>
  <c r="S1565" i="16"/>
  <c r="S1559" i="16"/>
  <c r="S1557" i="16"/>
  <c r="S1556" i="16"/>
  <c r="S1555" i="16"/>
  <c r="S1536" i="16"/>
  <c r="T1536" i="16" s="1"/>
  <c r="AA1536" i="16" s="1"/>
  <c r="AH1536" i="16" s="1"/>
  <c r="AJ1536" i="16" s="1"/>
  <c r="S1534" i="16"/>
  <c r="T1534" i="16" s="1"/>
  <c r="AA1534" i="16" s="1"/>
  <c r="AH1534" i="16" s="1"/>
  <c r="S1526" i="16"/>
  <c r="S1524" i="16"/>
  <c r="S1518" i="16"/>
  <c r="S1516" i="16"/>
  <c r="S1510" i="16"/>
  <c r="S1508" i="16"/>
  <c r="S1501" i="16"/>
  <c r="S1498" i="16"/>
  <c r="S1492" i="16"/>
  <c r="S1490" i="16"/>
  <c r="S1484" i="16"/>
  <c r="S1482" i="16"/>
  <c r="S1475" i="16"/>
  <c r="S1469" i="16"/>
  <c r="S1463" i="16"/>
  <c r="S1457" i="16"/>
  <c r="S1459" i="16" s="1"/>
  <c r="S1451" i="16"/>
  <c r="S1445" i="16"/>
  <c r="S1439" i="16"/>
  <c r="S1433" i="16"/>
  <c r="S1427" i="16"/>
  <c r="S1419" i="16"/>
  <c r="T1419" i="16" s="1"/>
  <c r="S1413" i="16"/>
  <c r="S1411" i="16"/>
  <c r="S1399" i="16"/>
  <c r="S1393" i="16"/>
  <c r="T1393" i="16" s="1"/>
  <c r="S1387" i="16"/>
  <c r="S1381" i="16"/>
  <c r="S1375" i="16"/>
  <c r="S1369" i="16"/>
  <c r="S1367" i="16"/>
  <c r="S1361" i="16"/>
  <c r="S1363" i="16" s="1"/>
  <c r="S1355" i="16"/>
  <c r="S1405" i="16" s="1"/>
  <c r="AO21" i="19" s="1"/>
  <c r="S1349" i="16"/>
  <c r="S1351" i="16" s="1"/>
  <c r="S1343" i="16"/>
  <c r="S1337" i="16"/>
  <c r="S1331" i="16"/>
  <c r="S1333" i="16" s="1"/>
  <c r="S1325" i="16"/>
  <c r="S1324" i="16"/>
  <c r="S1322" i="16"/>
  <c r="S1321" i="16"/>
  <c r="S1320" i="16"/>
  <c r="S1314" i="16"/>
  <c r="S1308" i="16"/>
  <c r="S1310" i="16" s="1"/>
  <c r="S1302" i="16"/>
  <c r="S1295" i="16"/>
  <c r="S1293" i="16"/>
  <c r="S1285" i="16"/>
  <c r="S1279" i="16"/>
  <c r="S1272" i="16"/>
  <c r="S1274" i="16" s="1"/>
  <c r="S1266" i="16"/>
  <c r="S1265" i="16"/>
  <c r="S1264" i="16"/>
  <c r="S1262" i="16"/>
  <c r="S1256" i="16"/>
  <c r="S1255" i="16"/>
  <c r="S1253" i="16"/>
  <c r="N1248" i="16"/>
  <c r="O1248" i="16"/>
  <c r="P1248" i="16"/>
  <c r="Q1248" i="16"/>
  <c r="R1248" i="16"/>
  <c r="S1246" i="16"/>
  <c r="S1248" i="16" s="1"/>
  <c r="AJ2117" i="16" l="1"/>
  <c r="AH2178" i="16"/>
  <c r="AH2176" i="16" s="1"/>
  <c r="AH2077" i="16"/>
  <c r="AJ2077" i="16" s="1"/>
  <c r="AJ2075" i="16"/>
  <c r="AH2045" i="16"/>
  <c r="AJ2043" i="16"/>
  <c r="AH2083" i="16"/>
  <c r="AJ2083" i="16" s="1"/>
  <c r="AJ2081" i="16"/>
  <c r="AH1961" i="16"/>
  <c r="AJ1961" i="16" s="1"/>
  <c r="AJ1882" i="16"/>
  <c r="AH1884" i="16"/>
  <c r="AJ1884" i="16" s="1"/>
  <c r="AJ1798" i="16"/>
  <c r="AJ1910" i="16"/>
  <c r="AH1912" i="16"/>
  <c r="AJ1912" i="16" s="1"/>
  <c r="AJ1934" i="16"/>
  <c r="AH1936" i="16"/>
  <c r="AJ1936" i="16" s="1"/>
  <c r="AJ1916" i="16"/>
  <c r="AH1918" i="16"/>
  <c r="AJ1918" i="16" s="1"/>
  <c r="AJ2045" i="16"/>
  <c r="AH2047" i="16"/>
  <c r="AJ2047" i="16" s="1"/>
  <c r="AH2258" i="16"/>
  <c r="AJ2258" i="16" s="1"/>
  <c r="AH1185" i="16"/>
  <c r="AJ1185" i="16" s="1"/>
  <c r="AJ435" i="16"/>
  <c r="AH437" i="16"/>
  <c r="AJ437" i="16" s="1"/>
  <c r="AJ1425" i="16"/>
  <c r="AJ1534" i="16"/>
  <c r="AH1538" i="16"/>
  <c r="AJ1538" i="16" s="1"/>
  <c r="AA1147" i="16"/>
  <c r="AH1143" i="16"/>
  <c r="AH1147" i="16" s="1"/>
  <c r="AJ34" i="5"/>
  <c r="AL34" i="5"/>
  <c r="AK34" i="5"/>
  <c r="AA1884" i="16"/>
  <c r="AA1967" i="16"/>
  <c r="AA1912" i="16"/>
  <c r="AA1936" i="16"/>
  <c r="AA2077" i="16"/>
  <c r="T2100" i="16"/>
  <c r="S2102" i="16"/>
  <c r="AA1918" i="16"/>
  <c r="AA2045" i="16"/>
  <c r="AA2083" i="16"/>
  <c r="AA2117" i="16"/>
  <c r="AO49" i="18"/>
  <c r="AO49" i="5" s="1"/>
  <c r="T1395" i="16"/>
  <c r="AA1393" i="16"/>
  <c r="T1421" i="16"/>
  <c r="AA1419" i="16"/>
  <c r="AH1419" i="16" s="1"/>
  <c r="T2129" i="16"/>
  <c r="AA2127" i="16"/>
  <c r="T2199" i="16"/>
  <c r="AA2197" i="16"/>
  <c r="AH2197" i="16" s="1"/>
  <c r="AH2199" i="16" s="1"/>
  <c r="S2286" i="16"/>
  <c r="T2284" i="16"/>
  <c r="AP36" i="18" s="1"/>
  <c r="AP36" i="5" s="1"/>
  <c r="AA2274" i="16"/>
  <c r="AH2274" i="16" s="1"/>
  <c r="T1892" i="16"/>
  <c r="AA1890" i="16"/>
  <c r="AA1961" i="16"/>
  <c r="T2135" i="16"/>
  <c r="AA2133" i="16"/>
  <c r="AH2133" i="16" s="1"/>
  <c r="T1544" i="16"/>
  <c r="AA1542" i="16"/>
  <c r="AA1538" i="16"/>
  <c r="T1898" i="16"/>
  <c r="AA1896" i="16"/>
  <c r="AH1896" i="16" s="1"/>
  <c r="T1942" i="16"/>
  <c r="AA1940" i="16"/>
  <c r="T2142" i="16"/>
  <c r="AA2140" i="16"/>
  <c r="AA2258" i="16"/>
  <c r="S1906" i="16"/>
  <c r="Q2049" i="16"/>
  <c r="AM27" i="18"/>
  <c r="AM27" i="5" s="1"/>
  <c r="T2286" i="16"/>
  <c r="P2049" i="16"/>
  <c r="AL27" i="18"/>
  <c r="AL27" i="5" s="1"/>
  <c r="O2049" i="16"/>
  <c r="AK27" i="18"/>
  <c r="AK27" i="5" s="1"/>
  <c r="S1240" i="16"/>
  <c r="AO20" i="19" s="1"/>
  <c r="R2049" i="16"/>
  <c r="AN27" i="18"/>
  <c r="AN27" i="5" s="1"/>
  <c r="N2049" i="16"/>
  <c r="AJ27" i="18"/>
  <c r="AJ27" i="5" s="1"/>
  <c r="O2201" i="16"/>
  <c r="R2201" i="16"/>
  <c r="N2201" i="16"/>
  <c r="S2187" i="16"/>
  <c r="Q2201" i="16"/>
  <c r="P2201" i="16"/>
  <c r="S406" i="16"/>
  <c r="T1912" i="16"/>
  <c r="T1936" i="16"/>
  <c r="T2077" i="16"/>
  <c r="T1884" i="16"/>
  <c r="T1918" i="16"/>
  <c r="T2045" i="16"/>
  <c r="T2047" i="16" s="1"/>
  <c r="T2083" i="16"/>
  <c r="T2117" i="16"/>
  <c r="S2193" i="16"/>
  <c r="S2205" i="16"/>
  <c r="AO31" i="19" s="1"/>
  <c r="AO31" i="5" s="1"/>
  <c r="O1782" i="16"/>
  <c r="S2234" i="16"/>
  <c r="AO34" i="18" s="1"/>
  <c r="AO34" i="5" s="1"/>
  <c r="Q2178" i="16"/>
  <c r="Q2176" i="16" s="1"/>
  <c r="AM29" i="19" s="1"/>
  <c r="AM29" i="5" s="1"/>
  <c r="R1550" i="16"/>
  <c r="R1546" i="16" s="1"/>
  <c r="AN23" i="18" s="1"/>
  <c r="AN23" i="5" s="1"/>
  <c r="O1289" i="16"/>
  <c r="O1407" i="16" s="1"/>
  <c r="O1403" i="16" s="1"/>
  <c r="AK21" i="18" s="1"/>
  <c r="P2178" i="16"/>
  <c r="P2176" i="16" s="1"/>
  <c r="AL29" i="19" s="1"/>
  <c r="T2121" i="16"/>
  <c r="AA2121" i="16" s="1"/>
  <c r="S2174" i="16"/>
  <c r="AO29" i="18" s="1"/>
  <c r="O2178" i="16"/>
  <c r="O2176" i="16" s="1"/>
  <c r="AK29" i="19" s="1"/>
  <c r="R1782" i="16"/>
  <c r="R2038" i="16" s="1"/>
  <c r="R2034" i="16" s="1"/>
  <c r="AN26" i="18" s="1"/>
  <c r="AN26" i="5" s="1"/>
  <c r="P1550" i="16"/>
  <c r="P1546" i="16" s="1"/>
  <c r="AL23" i="18" s="1"/>
  <c r="AL23" i="5" s="1"/>
  <c r="Q1550" i="16"/>
  <c r="Q1546" i="16" s="1"/>
  <c r="AM23" i="18" s="1"/>
  <c r="AM23" i="5" s="1"/>
  <c r="O2038" i="16"/>
  <c r="O2034" i="16" s="1"/>
  <c r="AK26" i="18" s="1"/>
  <c r="R2178" i="16"/>
  <c r="R2176" i="16" s="1"/>
  <c r="AN29" i="19" s="1"/>
  <c r="AN29" i="5" s="1"/>
  <c r="N2178" i="16"/>
  <c r="N2176" i="16" s="1"/>
  <c r="AJ29" i="19" s="1"/>
  <c r="O1550" i="16"/>
  <c r="O1546" i="16" s="1"/>
  <c r="AK23" i="18" s="1"/>
  <c r="AK23" i="5" s="1"/>
  <c r="T1902" i="16"/>
  <c r="S1918" i="16"/>
  <c r="P1782" i="16"/>
  <c r="P2038" i="16" s="1"/>
  <c r="P2034" i="16" s="1"/>
  <c r="AL26" i="18" s="1"/>
  <c r="N1782" i="16"/>
  <c r="N2038" i="16" s="1"/>
  <c r="N2034" i="16" s="1"/>
  <c r="AJ26" i="18" s="1"/>
  <c r="T1759" i="16"/>
  <c r="S2036" i="16"/>
  <c r="AO26" i="19" s="1"/>
  <c r="T1961" i="16"/>
  <c r="S1761" i="16"/>
  <c r="S1630" i="16"/>
  <c r="S1622" i="16"/>
  <c r="S1654" i="16"/>
  <c r="S1577" i="16"/>
  <c r="S1614" i="16"/>
  <c r="S1710" i="16"/>
  <c r="S1606" i="16"/>
  <c r="S2135" i="16"/>
  <c r="S2142" i="16"/>
  <c r="S1892" i="16"/>
  <c r="S1884" i="16"/>
  <c r="S1357" i="16"/>
  <c r="R1289" i="16"/>
  <c r="R1407" i="16" s="1"/>
  <c r="R1403" i="16" s="1"/>
  <c r="AN21" i="18" s="1"/>
  <c r="AN21" i="5" s="1"/>
  <c r="N1289" i="16"/>
  <c r="N1407" i="16" s="1"/>
  <c r="N1403" i="16" s="1"/>
  <c r="AJ21" i="18" s="1"/>
  <c r="S2129" i="16"/>
  <c r="S2123" i="16"/>
  <c r="S2083" i="16"/>
  <c r="S1912" i="16"/>
  <c r="O1597" i="16"/>
  <c r="P1530" i="16"/>
  <c r="S1345" i="16"/>
  <c r="T1381" i="16"/>
  <c r="AA1381" i="16" s="1"/>
  <c r="AH1381" i="16" s="1"/>
  <c r="S1383" i="16"/>
  <c r="S1429" i="16"/>
  <c r="S1304" i="16"/>
  <c r="T1387" i="16"/>
  <c r="S1389" i="16"/>
  <c r="S1435" i="16"/>
  <c r="T1922" i="16"/>
  <c r="AA1922" i="16" s="1"/>
  <c r="AH1922" i="16" s="1"/>
  <c r="S1924" i="16"/>
  <c r="T1946" i="16"/>
  <c r="AA1946" i="16" s="1"/>
  <c r="AH1946" i="16" s="1"/>
  <c r="AH1948" i="16" s="1"/>
  <c r="AJ1948" i="16" s="1"/>
  <c r="S1948" i="16"/>
  <c r="S2065" i="16"/>
  <c r="T2087" i="16"/>
  <c r="AA2087" i="16" s="1"/>
  <c r="AH2087" i="16" s="1"/>
  <c r="S2089" i="16"/>
  <c r="S1477" i="16"/>
  <c r="S1453" i="16"/>
  <c r="P1289" i="16"/>
  <c r="P1407" i="16" s="1"/>
  <c r="P1403" i="16" s="1"/>
  <c r="AL21" i="18" s="1"/>
  <c r="S1441" i="16"/>
  <c r="S1646" i="16"/>
  <c r="S1811" i="16"/>
  <c r="T1847" i="16"/>
  <c r="AA1847" i="16" s="1"/>
  <c r="AH1847" i="16" s="1"/>
  <c r="S1851" i="16"/>
  <c r="S1868" i="16"/>
  <c r="T1928" i="16"/>
  <c r="AA1928" i="16" s="1"/>
  <c r="AH1928" i="16" s="1"/>
  <c r="S1930" i="16"/>
  <c r="T1952" i="16"/>
  <c r="AA1952" i="16" s="1"/>
  <c r="AH1952" i="16" s="1"/>
  <c r="AH1954" i="16" s="1"/>
  <c r="AJ1954" i="16" s="1"/>
  <c r="S1954" i="16"/>
  <c r="S2071" i="16"/>
  <c r="T2093" i="16"/>
  <c r="S2095" i="16"/>
  <c r="S1694" i="16"/>
  <c r="S1561" i="16"/>
  <c r="O1530" i="16"/>
  <c r="S1465" i="16"/>
  <c r="S1287" i="16"/>
  <c r="S1281" i="16"/>
  <c r="S1339" i="16"/>
  <c r="T1375" i="16"/>
  <c r="AA1375" i="16" s="1"/>
  <c r="AH1375" i="16" s="1"/>
  <c r="S1377" i="16"/>
  <c r="T1399" i="16"/>
  <c r="S1401" i="16"/>
  <c r="S1638" i="16"/>
  <c r="S1734" i="16"/>
  <c r="S1752" i="16" s="1"/>
  <c r="AO25" i="19" s="1"/>
  <c r="S1767" i="16"/>
  <c r="S1788" i="16"/>
  <c r="S1817" i="16"/>
  <c r="S1831" i="16"/>
  <c r="S1878" i="16"/>
  <c r="S2203" i="16"/>
  <c r="S1898" i="16"/>
  <c r="Q1782" i="16"/>
  <c r="Q2038" i="16" s="1"/>
  <c r="S1702" i="16"/>
  <c r="S1686" i="16"/>
  <c r="S1678" i="16"/>
  <c r="S1670" i="16"/>
  <c r="S1662" i="16"/>
  <c r="S1569" i="16"/>
  <c r="S1316" i="16"/>
  <c r="S2110" i="16"/>
  <c r="S2077" i="16"/>
  <c r="S1837" i="16"/>
  <c r="S1825" i="16"/>
  <c r="S1774" i="16"/>
  <c r="S1782" i="16" s="1"/>
  <c r="S1748" i="16"/>
  <c r="S1595" i="16"/>
  <c r="Q1597" i="16"/>
  <c r="S1395" i="16"/>
  <c r="S2117" i="16"/>
  <c r="S2045" i="16"/>
  <c r="S2047" i="16" s="1"/>
  <c r="S1961" i="16"/>
  <c r="S1942" i="16"/>
  <c r="S1936" i="16"/>
  <c r="S1857" i="16"/>
  <c r="S1802" i="16"/>
  <c r="S1794" i="16"/>
  <c r="S1728" i="16"/>
  <c r="S1718" i="16"/>
  <c r="S1585" i="16"/>
  <c r="N1550" i="16"/>
  <c r="N1546" i="16" s="1"/>
  <c r="AJ23" i="18" s="1"/>
  <c r="S1544" i="16"/>
  <c r="T1538" i="16"/>
  <c r="S1504" i="16"/>
  <c r="S1528" i="16"/>
  <c r="S1520" i="16"/>
  <c r="S1494" i="16"/>
  <c r="S1486" i="16"/>
  <c r="S1538" i="16"/>
  <c r="S1512" i="16"/>
  <c r="S1471" i="16"/>
  <c r="S1447" i="16"/>
  <c r="S1371" i="16"/>
  <c r="S1298" i="16"/>
  <c r="S1258" i="16"/>
  <c r="S1421" i="16"/>
  <c r="S1415" i="16"/>
  <c r="S1268" i="16"/>
  <c r="S1327" i="16"/>
  <c r="Q1289" i="16"/>
  <c r="Q1407" i="16" s="1"/>
  <c r="Q1403" i="16" s="1"/>
  <c r="AM21" i="18" s="1"/>
  <c r="AM21" i="5" s="1"/>
  <c r="Q1530" i="16"/>
  <c r="R1530" i="16"/>
  <c r="N1530" i="16"/>
  <c r="R1597" i="16"/>
  <c r="N1597" i="16"/>
  <c r="P1597" i="16"/>
  <c r="O1742" i="16"/>
  <c r="R1742" i="16"/>
  <c r="N1742" i="16"/>
  <c r="Q1742" i="16"/>
  <c r="P1742" i="16"/>
  <c r="R1752" i="16"/>
  <c r="AN25" i="19" s="1"/>
  <c r="N1752" i="16"/>
  <c r="AJ25" i="19" s="1"/>
  <c r="P1752" i="16"/>
  <c r="AL25" i="19" s="1"/>
  <c r="N169" i="16"/>
  <c r="O169" i="16"/>
  <c r="P169" i="16"/>
  <c r="Q169" i="16"/>
  <c r="R169" i="16"/>
  <c r="N171" i="16"/>
  <c r="N2288" i="16" s="1"/>
  <c r="O171" i="16"/>
  <c r="O2288" i="16" s="1"/>
  <c r="P171" i="16"/>
  <c r="P2288" i="16" s="1"/>
  <c r="Q171" i="16"/>
  <c r="Q2288" i="16" s="1"/>
  <c r="R171" i="16"/>
  <c r="R2288" i="16" s="1"/>
  <c r="N175" i="16"/>
  <c r="O175" i="16"/>
  <c r="P175" i="16"/>
  <c r="Q175" i="16"/>
  <c r="R175" i="16"/>
  <c r="S166" i="16"/>
  <c r="S164" i="16"/>
  <c r="S163" i="16"/>
  <c r="S162" i="16"/>
  <c r="S160" i="16"/>
  <c r="S159" i="16"/>
  <c r="S158" i="16"/>
  <c r="S157" i="16"/>
  <c r="S156" i="16"/>
  <c r="S154" i="16"/>
  <c r="S148" i="16"/>
  <c r="S147" i="16"/>
  <c r="S146" i="16"/>
  <c r="S145" i="16"/>
  <c r="S144" i="16"/>
  <c r="S143" i="16"/>
  <c r="S136" i="16"/>
  <c r="S135" i="16"/>
  <c r="S134" i="16"/>
  <c r="S133" i="16"/>
  <c r="S132" i="16"/>
  <c r="S126" i="16"/>
  <c r="AO10" i="19" s="1"/>
  <c r="S125" i="16"/>
  <c r="S124" i="16"/>
  <c r="S123" i="16"/>
  <c r="S122" i="16"/>
  <c r="S121" i="16"/>
  <c r="S120" i="16"/>
  <c r="S119" i="16"/>
  <c r="S118" i="16"/>
  <c r="S117" i="16"/>
  <c r="S116" i="16"/>
  <c r="S115" i="16"/>
  <c r="S114" i="16"/>
  <c r="S108" i="16"/>
  <c r="S107" i="16"/>
  <c r="S106" i="16"/>
  <c r="S105" i="16"/>
  <c r="S104" i="16"/>
  <c r="S103" i="16"/>
  <c r="S97" i="16"/>
  <c r="S96" i="16"/>
  <c r="S95" i="16"/>
  <c r="S94" i="16"/>
  <c r="S93" i="16"/>
  <c r="S92" i="16"/>
  <c r="S86" i="16"/>
  <c r="T86" i="16" s="1"/>
  <c r="AA86" i="16" s="1"/>
  <c r="AH86" i="16" s="1"/>
  <c r="S85" i="16"/>
  <c r="S82" i="16"/>
  <c r="S81" i="16"/>
  <c r="S80" i="16"/>
  <c r="S79" i="16"/>
  <c r="S78" i="16"/>
  <c r="S77" i="16"/>
  <c r="S71" i="16"/>
  <c r="S70" i="16"/>
  <c r="S69" i="16"/>
  <c r="S68" i="16"/>
  <c r="S67" i="16"/>
  <c r="S60" i="16"/>
  <c r="S59" i="16"/>
  <c r="S58" i="16"/>
  <c r="S57" i="16"/>
  <c r="S56" i="16"/>
  <c r="S50" i="16"/>
  <c r="S49" i="16"/>
  <c r="S48" i="16"/>
  <c r="S47" i="16"/>
  <c r="S46" i="16"/>
  <c r="S40" i="16"/>
  <c r="S39" i="16"/>
  <c r="S38" i="16"/>
  <c r="S36" i="16"/>
  <c r="S35" i="16"/>
  <c r="S34" i="16"/>
  <c r="S33" i="16"/>
  <c r="S27" i="16"/>
  <c r="S26" i="16"/>
  <c r="S25" i="16"/>
  <c r="S24" i="16"/>
  <c r="S23" i="16"/>
  <c r="S22" i="16"/>
  <c r="S13" i="16"/>
  <c r="S14" i="16"/>
  <c r="S16" i="16"/>
  <c r="S12" i="16"/>
  <c r="S122" i="4"/>
  <c r="T122" i="4" s="1"/>
  <c r="AA122" i="4" s="1"/>
  <c r="N129" i="4"/>
  <c r="O129" i="4"/>
  <c r="P129" i="4"/>
  <c r="Q129" i="4"/>
  <c r="R129" i="4"/>
  <c r="N131" i="4"/>
  <c r="N573" i="4" s="1"/>
  <c r="O131" i="4"/>
  <c r="O573" i="4" s="1"/>
  <c r="P131" i="4"/>
  <c r="P573" i="4" s="1"/>
  <c r="Q131" i="4"/>
  <c r="Q573" i="4" s="1"/>
  <c r="R131" i="4"/>
  <c r="R573" i="4" s="1"/>
  <c r="N135" i="4"/>
  <c r="N577" i="4" s="1"/>
  <c r="O135" i="4"/>
  <c r="O577" i="4" s="1"/>
  <c r="P135" i="4"/>
  <c r="P577" i="4" s="1"/>
  <c r="Q135" i="4"/>
  <c r="Q577" i="4" s="1"/>
  <c r="R135" i="4"/>
  <c r="R577" i="4" s="1"/>
  <c r="S113" i="4"/>
  <c r="S114" i="4"/>
  <c r="T114" i="4" s="1"/>
  <c r="AA114" i="4" s="1"/>
  <c r="AH114" i="4" s="1"/>
  <c r="S116" i="4"/>
  <c r="T116" i="4" s="1"/>
  <c r="AA116" i="4" s="1"/>
  <c r="AH116" i="4" s="1"/>
  <c r="M118" i="4"/>
  <c r="N118" i="4"/>
  <c r="O118" i="4"/>
  <c r="P118" i="4"/>
  <c r="Q118" i="4"/>
  <c r="R118" i="4"/>
  <c r="M109" i="4"/>
  <c r="N109" i="4"/>
  <c r="O109" i="4"/>
  <c r="P109" i="4"/>
  <c r="Q109" i="4"/>
  <c r="R109" i="4"/>
  <c r="S105" i="4"/>
  <c r="T105" i="4" s="1"/>
  <c r="AA105" i="4" s="1"/>
  <c r="AH105" i="4" s="1"/>
  <c r="M98" i="4"/>
  <c r="N98" i="4"/>
  <c r="O98" i="4"/>
  <c r="P98" i="4"/>
  <c r="Q98" i="4"/>
  <c r="R98" i="4"/>
  <c r="S78" i="4"/>
  <c r="S79" i="4"/>
  <c r="S80" i="4"/>
  <c r="S81" i="4"/>
  <c r="T81" i="4" s="1"/>
  <c r="AA81" i="4" s="1"/>
  <c r="AH81" i="4" s="1"/>
  <c r="S82" i="4"/>
  <c r="T82" i="4" s="1"/>
  <c r="AA82" i="4" s="1"/>
  <c r="AH82" i="4" s="1"/>
  <c r="N84" i="4"/>
  <c r="O84" i="4"/>
  <c r="P84" i="4"/>
  <c r="Q84" i="4"/>
  <c r="R84" i="4"/>
  <c r="N75" i="4"/>
  <c r="O75" i="4"/>
  <c r="P75" i="4"/>
  <c r="Q75" i="4"/>
  <c r="R75" i="4"/>
  <c r="S71" i="4"/>
  <c r="T71" i="4" s="1"/>
  <c r="AA71" i="4" s="1"/>
  <c r="AH71" i="4" s="1"/>
  <c r="M65" i="4"/>
  <c r="N65" i="4"/>
  <c r="O65" i="4"/>
  <c r="P65" i="4"/>
  <c r="Q65" i="4"/>
  <c r="R65" i="4"/>
  <c r="M55" i="4"/>
  <c r="N55" i="4"/>
  <c r="O55" i="4"/>
  <c r="P55" i="4"/>
  <c r="Q55" i="4"/>
  <c r="R55" i="4"/>
  <c r="M48" i="4"/>
  <c r="N48" i="4"/>
  <c r="O48" i="4"/>
  <c r="P48" i="4"/>
  <c r="Q48" i="4"/>
  <c r="R48" i="4"/>
  <c r="M41" i="4"/>
  <c r="N41" i="4"/>
  <c r="O41" i="4"/>
  <c r="P41" i="4"/>
  <c r="Q41" i="4"/>
  <c r="R41" i="4"/>
  <c r="S126" i="4"/>
  <c r="S125" i="4"/>
  <c r="L12" i="17" s="1"/>
  <c r="S124" i="4"/>
  <c r="L11" i="19" s="1"/>
  <c r="S123" i="4"/>
  <c r="L8" i="19" s="1"/>
  <c r="S121" i="4"/>
  <c r="S112" i="4"/>
  <c r="S107" i="4"/>
  <c r="T107" i="4" s="1"/>
  <c r="AA107" i="4" s="1"/>
  <c r="AH107" i="4" s="1"/>
  <c r="S106" i="4"/>
  <c r="S104" i="4"/>
  <c r="L14" i="18" s="1"/>
  <c r="L14" i="5" s="1"/>
  <c r="S103" i="4"/>
  <c r="S101" i="4"/>
  <c r="S96" i="4"/>
  <c r="T96" i="4" s="1"/>
  <c r="AA96" i="4" s="1"/>
  <c r="AH96" i="4" s="1"/>
  <c r="S95" i="4"/>
  <c r="T95" i="4" s="1"/>
  <c r="AA95" i="4" s="1"/>
  <c r="AH95" i="4" s="1"/>
  <c r="S93" i="4"/>
  <c r="T93" i="4" s="1"/>
  <c r="AA93" i="4" s="1"/>
  <c r="AH93" i="4" s="1"/>
  <c r="S92" i="4"/>
  <c r="L10" i="18" s="1"/>
  <c r="L10" i="5" s="1"/>
  <c r="S91" i="4"/>
  <c r="L9" i="18" s="1"/>
  <c r="L9" i="5" s="1"/>
  <c r="S90" i="4"/>
  <c r="S89" i="4"/>
  <c r="S88" i="4"/>
  <c r="L13" i="19" s="1"/>
  <c r="S87" i="4"/>
  <c r="S73" i="4"/>
  <c r="T73" i="4" s="1"/>
  <c r="AA73" i="4" s="1"/>
  <c r="AH73" i="4" s="1"/>
  <c r="S70" i="4"/>
  <c r="S69" i="4"/>
  <c r="S68" i="4"/>
  <c r="S63" i="4"/>
  <c r="S62" i="4"/>
  <c r="T62" i="4" s="1"/>
  <c r="AA62" i="4" s="1"/>
  <c r="AH62" i="4" s="1"/>
  <c r="S60" i="4"/>
  <c r="S58" i="4"/>
  <c r="S53" i="4"/>
  <c r="T53" i="4" s="1"/>
  <c r="AA53" i="4" s="1"/>
  <c r="AH53" i="4" s="1"/>
  <c r="S52" i="4"/>
  <c r="S51" i="4"/>
  <c r="S46" i="4"/>
  <c r="T46" i="4" s="1"/>
  <c r="AA46" i="4" s="1"/>
  <c r="AH46" i="4" s="1"/>
  <c r="S45" i="4"/>
  <c r="S44" i="4"/>
  <c r="S39" i="4"/>
  <c r="T39" i="4" s="1"/>
  <c r="AA39" i="4" s="1"/>
  <c r="AH39" i="4" s="1"/>
  <c r="S38" i="4"/>
  <c r="S37" i="4"/>
  <c r="S36" i="4"/>
  <c r="M33" i="4"/>
  <c r="N33" i="4"/>
  <c r="O33" i="4"/>
  <c r="P33" i="4"/>
  <c r="Q33" i="4"/>
  <c r="R33" i="4"/>
  <c r="S31" i="4"/>
  <c r="S28" i="4"/>
  <c r="S27" i="4"/>
  <c r="M24" i="4"/>
  <c r="N24" i="4"/>
  <c r="O24" i="4"/>
  <c r="P24" i="4"/>
  <c r="Q24" i="4"/>
  <c r="R24" i="4"/>
  <c r="S22" i="4"/>
  <c r="T22" i="4" s="1"/>
  <c r="AA22" i="4" s="1"/>
  <c r="AH22" i="4" s="1"/>
  <c r="S21" i="4"/>
  <c r="L16" i="18" s="1"/>
  <c r="L16" i="5" s="1"/>
  <c r="S20" i="4"/>
  <c r="S19" i="4"/>
  <c r="S18" i="4"/>
  <c r="M15" i="4"/>
  <c r="N15" i="4"/>
  <c r="O15" i="4"/>
  <c r="P15" i="4"/>
  <c r="Q15" i="4"/>
  <c r="R15" i="4"/>
  <c r="S11" i="4"/>
  <c r="S12" i="4"/>
  <c r="S13" i="4"/>
  <c r="T13" i="4" s="1"/>
  <c r="AA13" i="4" s="1"/>
  <c r="AH13" i="4" s="1"/>
  <c r="S10" i="4"/>
  <c r="AH2089" i="16" l="1"/>
  <c r="AJ2089" i="16" s="1"/>
  <c r="AJ2087" i="16"/>
  <c r="AH2135" i="16"/>
  <c r="AJ2135" i="16" s="1"/>
  <c r="AJ2133" i="16"/>
  <c r="AA2129" i="16"/>
  <c r="AH2127" i="16"/>
  <c r="AH2129" i="16" s="1"/>
  <c r="AJ1928" i="16"/>
  <c r="AH1930" i="16"/>
  <c r="AJ1930" i="16" s="1"/>
  <c r="AJ1922" i="16"/>
  <c r="AH1924" i="16"/>
  <c r="AJ1924" i="16" s="1"/>
  <c r="AA2142" i="16"/>
  <c r="AH2140" i="16"/>
  <c r="AH2142" i="16" s="1"/>
  <c r="AJ1896" i="16"/>
  <c r="AH1898" i="16"/>
  <c r="AJ1898" i="16" s="1"/>
  <c r="AA1892" i="16"/>
  <c r="AH1890" i="16"/>
  <c r="BD27" i="5"/>
  <c r="AH2049" i="16"/>
  <c r="AJ2049" i="16" s="1"/>
  <c r="AA2174" i="16"/>
  <c r="AW29" i="18" s="1"/>
  <c r="AH2121" i="16"/>
  <c r="AJ2121" i="16" s="1"/>
  <c r="AA1942" i="16"/>
  <c r="AH1940" i="16"/>
  <c r="AH1942" i="16" s="1"/>
  <c r="AH2284" i="16"/>
  <c r="BD36" i="5" s="1"/>
  <c r="AH2276" i="16"/>
  <c r="AJ2276" i="16" s="1"/>
  <c r="AJ1847" i="16"/>
  <c r="AJ1419" i="16"/>
  <c r="AH1421" i="16"/>
  <c r="AJ1421" i="16" s="1"/>
  <c r="AJ1375" i="16"/>
  <c r="AH1377" i="16"/>
  <c r="AJ1377" i="16" s="1"/>
  <c r="AJ1381" i="16"/>
  <c r="AH1383" i="16"/>
  <c r="AJ1383" i="16" s="1"/>
  <c r="AA1544" i="16"/>
  <c r="AH1542" i="16"/>
  <c r="AA1395" i="16"/>
  <c r="AH1393" i="16"/>
  <c r="AK29" i="5"/>
  <c r="AJ29" i="5"/>
  <c r="AL29" i="5"/>
  <c r="AK26" i="5"/>
  <c r="AK21" i="5"/>
  <c r="AJ26" i="5"/>
  <c r="AL26" i="5"/>
  <c r="AL21" i="5"/>
  <c r="AJ21" i="5"/>
  <c r="AA1898" i="16"/>
  <c r="AA1377" i="16"/>
  <c r="AA1954" i="16"/>
  <c r="AA1948" i="16"/>
  <c r="AA2135" i="16"/>
  <c r="AA2199" i="16"/>
  <c r="AA1421" i="16"/>
  <c r="AA2047" i="16"/>
  <c r="AW27" i="18" s="1"/>
  <c r="AA2100" i="16"/>
  <c r="AH2100" i="16" s="1"/>
  <c r="AJ2100" i="16" s="1"/>
  <c r="T2102" i="16"/>
  <c r="T2110" i="16" s="1"/>
  <c r="AA2089" i="16"/>
  <c r="AA1383" i="16"/>
  <c r="AA1930" i="16"/>
  <c r="AA1924" i="16"/>
  <c r="S2201" i="16"/>
  <c r="AJ44" i="19"/>
  <c r="AJ50" i="19" s="1"/>
  <c r="AN44" i="19"/>
  <c r="AN50" i="19" s="1"/>
  <c r="T2095" i="16"/>
  <c r="AA2093" i="16"/>
  <c r="T1389" i="16"/>
  <c r="AA1387" i="16"/>
  <c r="AA2276" i="16"/>
  <c r="AA2284" i="16"/>
  <c r="AW36" i="18" s="1"/>
  <c r="T1401" i="16"/>
  <c r="AA1399" i="16"/>
  <c r="T2036" i="16"/>
  <c r="AP26" i="19" s="1"/>
  <c r="AA1759" i="16"/>
  <c r="T1906" i="16"/>
  <c r="AA1902" i="16"/>
  <c r="AA2123" i="16"/>
  <c r="AO8" i="19"/>
  <c r="AO9" i="19"/>
  <c r="AO8" i="17"/>
  <c r="S2038" i="16"/>
  <c r="S2034" i="16" s="1"/>
  <c r="AO26" i="18" s="1"/>
  <c r="AO26" i="5" s="1"/>
  <c r="AJ23" i="5"/>
  <c r="AM44" i="19"/>
  <c r="AM50" i="19" s="1"/>
  <c r="AK44" i="19"/>
  <c r="AK50" i="19" s="1"/>
  <c r="T2049" i="16"/>
  <c r="AP27" i="18"/>
  <c r="AL44" i="19"/>
  <c r="AL50" i="19" s="1"/>
  <c r="S2049" i="16"/>
  <c r="AO27" i="18"/>
  <c r="AO27" i="5" s="1"/>
  <c r="L12" i="5"/>
  <c r="T126" i="4"/>
  <c r="AA126" i="4" s="1"/>
  <c r="T17" i="17" s="1"/>
  <c r="L17" i="17"/>
  <c r="L18" i="17" s="1"/>
  <c r="L44" i="17" s="1"/>
  <c r="L50" i="17" s="1"/>
  <c r="T63" i="4"/>
  <c r="AA63" i="4" s="1"/>
  <c r="AH63" i="4" s="1"/>
  <c r="L17" i="19"/>
  <c r="L18" i="19" s="1"/>
  <c r="L44" i="19" s="1"/>
  <c r="L50" i="19" s="1"/>
  <c r="L13" i="18"/>
  <c r="L13" i="5" s="1"/>
  <c r="L15" i="18"/>
  <c r="L15" i="5" s="1"/>
  <c r="T12" i="4"/>
  <c r="AA12" i="4" s="1"/>
  <c r="AH12" i="4" s="1"/>
  <c r="L11" i="18"/>
  <c r="L11" i="5" s="1"/>
  <c r="T31" i="4"/>
  <c r="AA31" i="4" s="1"/>
  <c r="AH31" i="4" s="1"/>
  <c r="L8" i="18"/>
  <c r="L8" i="5" s="1"/>
  <c r="T163" i="16"/>
  <c r="AA163" i="16" s="1"/>
  <c r="AH163" i="16" s="1"/>
  <c r="S99" i="16"/>
  <c r="N133" i="4"/>
  <c r="N137" i="4" s="1"/>
  <c r="N579" i="4" s="1"/>
  <c r="O133" i="4"/>
  <c r="O137" i="4" s="1"/>
  <c r="O579" i="4" s="1"/>
  <c r="R133" i="4"/>
  <c r="R575" i="4" s="1"/>
  <c r="Q133" i="4"/>
  <c r="Q575" i="4" s="1"/>
  <c r="P133" i="4"/>
  <c r="P575" i="4" s="1"/>
  <c r="S135" i="4"/>
  <c r="S577" i="4" s="1"/>
  <c r="S128" i="16"/>
  <c r="Q1750" i="16"/>
  <c r="AM25" i="18" s="1"/>
  <c r="S110" i="16"/>
  <c r="S88" i="16"/>
  <c r="S139" i="16"/>
  <c r="S150" i="16"/>
  <c r="S63" i="16"/>
  <c r="S42" i="16"/>
  <c r="S73" i="16"/>
  <c r="S52" i="16"/>
  <c r="S18" i="16"/>
  <c r="S29" i="16"/>
  <c r="S2207" i="16"/>
  <c r="T2089" i="16"/>
  <c r="T1383" i="16"/>
  <c r="T1948" i="16"/>
  <c r="T1930" i="16"/>
  <c r="T1924" i="16"/>
  <c r="T1377" i="16"/>
  <c r="T1954" i="16"/>
  <c r="Q1754" i="16"/>
  <c r="S2178" i="16"/>
  <c r="S2176" i="16" s="1"/>
  <c r="AO29" i="19" s="1"/>
  <c r="AO29" i="5" s="1"/>
  <c r="T2123" i="16"/>
  <c r="T2174" i="16"/>
  <c r="AP29" i="18" s="1"/>
  <c r="Q177" i="16"/>
  <c r="O1750" i="16"/>
  <c r="AK25" i="18" s="1"/>
  <c r="S1289" i="16"/>
  <c r="S1407" i="16" s="1"/>
  <c r="S1403" i="16" s="1"/>
  <c r="AO21" i="18" s="1"/>
  <c r="AO21" i="5" s="1"/>
  <c r="S1550" i="16"/>
  <c r="S1546" i="16" s="1"/>
  <c r="AO23" i="18" s="1"/>
  <c r="AO23" i="5" s="1"/>
  <c r="S1742" i="16"/>
  <c r="O177" i="16"/>
  <c r="O1754" i="16"/>
  <c r="R1750" i="16"/>
  <c r="AN25" i="18" s="1"/>
  <c r="AN25" i="5" s="1"/>
  <c r="P177" i="16"/>
  <c r="R177" i="16"/>
  <c r="N177" i="16"/>
  <c r="S1597" i="16"/>
  <c r="S171" i="16"/>
  <c r="S2288" i="16" s="1"/>
  <c r="S1530" i="16"/>
  <c r="S175" i="16"/>
  <c r="N1754" i="16"/>
  <c r="P1754" i="16"/>
  <c r="N1750" i="16"/>
  <c r="AJ25" i="18" s="1"/>
  <c r="R1754" i="16"/>
  <c r="P1750" i="16"/>
  <c r="AL25" i="18" s="1"/>
  <c r="Q2034" i="16"/>
  <c r="AM26" i="18" s="1"/>
  <c r="AM26" i="5" s="1"/>
  <c r="S118" i="4"/>
  <c r="S131" i="4"/>
  <c r="S573" i="4" s="1"/>
  <c r="S98" i="4"/>
  <c r="S109" i="4"/>
  <c r="S84" i="4"/>
  <c r="S75" i="4"/>
  <c r="S33" i="4"/>
  <c r="S48" i="4"/>
  <c r="S55" i="4"/>
  <c r="S65" i="4"/>
  <c r="S41" i="4"/>
  <c r="S24" i="4"/>
  <c r="S15" i="4"/>
  <c r="M18" i="16"/>
  <c r="M29" i="16"/>
  <c r="M42" i="16"/>
  <c r="M52" i="16"/>
  <c r="M63" i="16"/>
  <c r="M73" i="16"/>
  <c r="M88" i="16"/>
  <c r="M99" i="16"/>
  <c r="M110" i="16"/>
  <c r="M128" i="16"/>
  <c r="M139" i="16"/>
  <c r="M150" i="16"/>
  <c r="M155" i="16"/>
  <c r="S155" i="16" s="1"/>
  <c r="M161" i="16"/>
  <c r="S161" i="16" s="1"/>
  <c r="M165" i="16"/>
  <c r="S165" i="16" s="1"/>
  <c r="AO9" i="18" s="1"/>
  <c r="M167" i="16"/>
  <c r="M171" i="16"/>
  <c r="M175" i="16"/>
  <c r="M186" i="16"/>
  <c r="M194" i="16"/>
  <c r="M201" i="16"/>
  <c r="M210" i="16"/>
  <c r="M219" i="16"/>
  <c r="M225" i="16"/>
  <c r="M231" i="16"/>
  <c r="M237" i="16"/>
  <c r="M243" i="16"/>
  <c r="M258" i="16"/>
  <c r="M265" i="16"/>
  <c r="M271" i="16"/>
  <c r="M277" i="16"/>
  <c r="M285" i="16"/>
  <c r="M294" i="16"/>
  <c r="M300" i="16"/>
  <c r="M337" i="16"/>
  <c r="M343" i="16"/>
  <c r="M351" i="16"/>
  <c r="M360" i="16"/>
  <c r="M366" i="16"/>
  <c r="M372" i="16"/>
  <c r="M381" i="16"/>
  <c r="M389" i="16" s="1"/>
  <c r="M425" i="16"/>
  <c r="M437" i="16"/>
  <c r="M451" i="16"/>
  <c r="M575" i="16"/>
  <c r="M584" i="16"/>
  <c r="M592" i="16"/>
  <c r="M600" i="16"/>
  <c r="M608" i="16"/>
  <c r="M631" i="16"/>
  <c r="M641" i="16"/>
  <c r="M650" i="16"/>
  <c r="M659" i="16"/>
  <c r="M666" i="16"/>
  <c r="M674" i="16"/>
  <c r="M682" i="16"/>
  <c r="M691" i="16"/>
  <c r="M699" i="16"/>
  <c r="M711" i="16"/>
  <c r="M717" i="16"/>
  <c r="M736" i="16"/>
  <c r="M742" i="16"/>
  <c r="M760" i="16"/>
  <c r="M823" i="16"/>
  <c r="M829" i="16"/>
  <c r="M836" i="16"/>
  <c r="M849" i="16"/>
  <c r="M855" i="16"/>
  <c r="M861" i="16" s="1"/>
  <c r="M869" i="16"/>
  <c r="M893" i="16"/>
  <c r="M899" i="16"/>
  <c r="M905" i="16"/>
  <c r="M913" i="16"/>
  <c r="M921" i="16"/>
  <c r="M935" i="16"/>
  <c r="M943" i="16"/>
  <c r="M951" i="16"/>
  <c r="M976" i="16"/>
  <c r="M982" i="16"/>
  <c r="M1039" i="16"/>
  <c r="M1057" i="16"/>
  <c r="M1064" i="16"/>
  <c r="M1079" i="16"/>
  <c r="M1087" i="16"/>
  <c r="M1109" i="16"/>
  <c r="M1133" i="16"/>
  <c r="M1139" i="16"/>
  <c r="M1163" i="16"/>
  <c r="M1170" i="16"/>
  <c r="M1177" i="16"/>
  <c r="M1183" i="16"/>
  <c r="M1191" i="16"/>
  <c r="M1248" i="16"/>
  <c r="M1258" i="16"/>
  <c r="M1268" i="16"/>
  <c r="M1274" i="16"/>
  <c r="M1287" i="16"/>
  <c r="M1298" i="16"/>
  <c r="M1304" i="16"/>
  <c r="M1310" i="16"/>
  <c r="M1327" i="16"/>
  <c r="M1333" i="16"/>
  <c r="M1339" i="16"/>
  <c r="M1345" i="16"/>
  <c r="M1351" i="16"/>
  <c r="M1363" i="16"/>
  <c r="M1371" i="16"/>
  <c r="M1377" i="16"/>
  <c r="M1383" i="16"/>
  <c r="M1389" i="16"/>
  <c r="M1395" i="16"/>
  <c r="M1401" i="16"/>
  <c r="M1405" i="16"/>
  <c r="M1415" i="16"/>
  <c r="M1429" i="16"/>
  <c r="M1441" i="16"/>
  <c r="M1447" i="16"/>
  <c r="M1453" i="16"/>
  <c r="M1459" i="16"/>
  <c r="M1465" i="16"/>
  <c r="M1471" i="16"/>
  <c r="M1477" i="16"/>
  <c r="M1486" i="16"/>
  <c r="M1494" i="16"/>
  <c r="M1528" i="16"/>
  <c r="M1538" i="16"/>
  <c r="M1561" i="16"/>
  <c r="M1569" i="16"/>
  <c r="M1577" i="16"/>
  <c r="M1614" i="16"/>
  <c r="M1646" i="16"/>
  <c r="M1670" i="16"/>
  <c r="M1702" i="16"/>
  <c r="M1748" i="16"/>
  <c r="M1752" i="16"/>
  <c r="M1761" i="16"/>
  <c r="M1767" i="16"/>
  <c r="M1774" i="16"/>
  <c r="M1780" i="16"/>
  <c r="M1788" i="16"/>
  <c r="M1794" i="16"/>
  <c r="M1802" i="16"/>
  <c r="M1811" i="16"/>
  <c r="M1817" i="16"/>
  <c r="M1831" i="16"/>
  <c r="M1851" i="16"/>
  <c r="M1906" i="16"/>
  <c r="M1912" i="16"/>
  <c r="M1918" i="16"/>
  <c r="M1924" i="16"/>
  <c r="M1930" i="16"/>
  <c r="M1936" i="16"/>
  <c r="M1942" i="16"/>
  <c r="M1948" i="16"/>
  <c r="M1954" i="16"/>
  <c r="M1961" i="16"/>
  <c r="M2045" i="16"/>
  <c r="M2047" i="16" s="1"/>
  <c r="M2049" i="16" s="1"/>
  <c r="M2077" i="16"/>
  <c r="M2083" i="16"/>
  <c r="M2089" i="16"/>
  <c r="M2095" i="16"/>
  <c r="M2110" i="16"/>
  <c r="M2117" i="16"/>
  <c r="M2123" i="16"/>
  <c r="M2129" i="16"/>
  <c r="M2135" i="16"/>
  <c r="M2142" i="16"/>
  <c r="M2187" i="16"/>
  <c r="M2193" i="16"/>
  <c r="M2203" i="16"/>
  <c r="M2207" i="16" s="1"/>
  <c r="M2236" i="16"/>
  <c r="M2238" i="16"/>
  <c r="M2247" i="16"/>
  <c r="M2249" i="16" s="1"/>
  <c r="M2258" i="16"/>
  <c r="M2264" i="16"/>
  <c r="M2270" i="16"/>
  <c r="M2276" i="16"/>
  <c r="M2288" i="16"/>
  <c r="AA2095" i="16" l="1"/>
  <c r="AH2093" i="16"/>
  <c r="AH2095" i="16" s="1"/>
  <c r="AH2102" i="16"/>
  <c r="AH2110" i="16" s="1"/>
  <c r="AJ2110" i="16" s="1"/>
  <c r="AH2123" i="16"/>
  <c r="AJ2123" i="16" s="1"/>
  <c r="AJ1890" i="16"/>
  <c r="AH1892" i="16"/>
  <c r="AJ1892" i="16" s="1"/>
  <c r="AH2286" i="16"/>
  <c r="AA1906" i="16"/>
  <c r="AH1902" i="16"/>
  <c r="AA2036" i="16"/>
  <c r="AW26" i="19" s="1"/>
  <c r="AH1759" i="16"/>
  <c r="AH1395" i="16"/>
  <c r="AA1401" i="16"/>
  <c r="AH1399" i="16"/>
  <c r="AA1389" i="16"/>
  <c r="AH1387" i="16"/>
  <c r="AH1544" i="16"/>
  <c r="AA17" i="5"/>
  <c r="AC17" i="5" s="1"/>
  <c r="AW27" i="5"/>
  <c r="AW36" i="5"/>
  <c r="T17" i="19"/>
  <c r="AJ25" i="5"/>
  <c r="AK25" i="5"/>
  <c r="AL25" i="5"/>
  <c r="AA2049" i="16"/>
  <c r="AA2286" i="16"/>
  <c r="AA2102" i="16"/>
  <c r="AA2110" i="16" s="1"/>
  <c r="M2286" i="16"/>
  <c r="AO8" i="18"/>
  <c r="AO8" i="5" s="1"/>
  <c r="AO18" i="19"/>
  <c r="AO44" i="19" s="1"/>
  <c r="AO50" i="19" s="1"/>
  <c r="AP27" i="5"/>
  <c r="AO18" i="17"/>
  <c r="AO44" i="17" s="1"/>
  <c r="AO50" i="17" s="1"/>
  <c r="AO9" i="5"/>
  <c r="P137" i="4"/>
  <c r="P579" i="4" s="1"/>
  <c r="M17" i="17"/>
  <c r="M17" i="19"/>
  <c r="AM25" i="5"/>
  <c r="N575" i="4"/>
  <c r="R137" i="4"/>
  <c r="R579" i="4" s="1"/>
  <c r="O575" i="4"/>
  <c r="Q137" i="4"/>
  <c r="Q579" i="4" s="1"/>
  <c r="M863" i="16"/>
  <c r="S167" i="16"/>
  <c r="S169" i="16" s="1"/>
  <c r="M173" i="16"/>
  <c r="M177" i="16" s="1"/>
  <c r="M1240" i="16"/>
  <c r="M2234" i="16"/>
  <c r="M2178" i="16"/>
  <c r="M2176" i="16" s="1"/>
  <c r="M1289" i="16"/>
  <c r="M1407" i="16" s="1"/>
  <c r="M1403" i="16" s="1"/>
  <c r="M1782" i="16"/>
  <c r="M2038" i="16" s="1"/>
  <c r="M2034" i="16" s="1"/>
  <c r="M1185" i="16"/>
  <c r="S1754" i="16"/>
  <c r="S1750" i="16"/>
  <c r="AO25" i="18" s="1"/>
  <c r="M287" i="16"/>
  <c r="M439" i="16"/>
  <c r="M353" i="16"/>
  <c r="M676" i="16"/>
  <c r="M1597" i="16"/>
  <c r="M1742" i="16"/>
  <c r="M251" i="16"/>
  <c r="M169" i="16"/>
  <c r="M203" i="16"/>
  <c r="M2201" i="16"/>
  <c r="M1550" i="16"/>
  <c r="M1546" i="16" s="1"/>
  <c r="M1103" i="16"/>
  <c r="M374" i="16"/>
  <c r="M212" i="16"/>
  <c r="M816" i="16"/>
  <c r="M633" i="16"/>
  <c r="M1530" i="16"/>
  <c r="L2135" i="16"/>
  <c r="K2135" i="16"/>
  <c r="L2284" i="16"/>
  <c r="AH36" i="18" s="1"/>
  <c r="AJ2174" i="16" l="1"/>
  <c r="AJ1902" i="16"/>
  <c r="AH1906" i="16"/>
  <c r="AH1389" i="16"/>
  <c r="AH1401" i="16"/>
  <c r="T167" i="16"/>
  <c r="AA167" i="16" s="1"/>
  <c r="AH167" i="16" s="1"/>
  <c r="AO10" i="18"/>
  <c r="AO25" i="5"/>
  <c r="M406" i="16"/>
  <c r="S173" i="16"/>
  <c r="S177" i="16" s="1"/>
  <c r="M1754" i="16"/>
  <c r="M1750" i="16"/>
  <c r="AI36" i="18"/>
  <c r="F47" i="18"/>
  <c r="F47" i="5" s="1"/>
  <c r="F17" i="19"/>
  <c r="E17" i="5"/>
  <c r="D47" i="5"/>
  <c r="L2276" i="16"/>
  <c r="K2276" i="16"/>
  <c r="J2276" i="16"/>
  <c r="L2270" i="16"/>
  <c r="K2270" i="16"/>
  <c r="J2270" i="16"/>
  <c r="L2264" i="16"/>
  <c r="K2264" i="16"/>
  <c r="J2264" i="16"/>
  <c r="L2142" i="16"/>
  <c r="K2142" i="16"/>
  <c r="L2129" i="16"/>
  <c r="K2129" i="16"/>
  <c r="L2123" i="16"/>
  <c r="K2123" i="16"/>
  <c r="L2117" i="16"/>
  <c r="K2117" i="16"/>
  <c r="L2110" i="16"/>
  <c r="K2110" i="16"/>
  <c r="L2095" i="16"/>
  <c r="K2095" i="16"/>
  <c r="L2089" i="16"/>
  <c r="K2089" i="16"/>
  <c r="L2083" i="16"/>
  <c r="K2083" i="16"/>
  <c r="L2077" i="16"/>
  <c r="K2077" i="16"/>
  <c r="K2049" i="16"/>
  <c r="J2049" i="16"/>
  <c r="L2047" i="16"/>
  <c r="K2047" i="16"/>
  <c r="J2047" i="16"/>
  <c r="L2045" i="16"/>
  <c r="K2045" i="16"/>
  <c r="L1961" i="16"/>
  <c r="K1961" i="16"/>
  <c r="K1967" i="16" s="1"/>
  <c r="K1973" i="16" s="1"/>
  <c r="L1954" i="16"/>
  <c r="K1954" i="16"/>
  <c r="L1948" i="16"/>
  <c r="K1948" i="16"/>
  <c r="L1942" i="16"/>
  <c r="K1942" i="16"/>
  <c r="L1936" i="16"/>
  <c r="K1936" i="16"/>
  <c r="L1930" i="16"/>
  <c r="K1930" i="16"/>
  <c r="L1924" i="16"/>
  <c r="K1924" i="16"/>
  <c r="L1918" i="16"/>
  <c r="K1918" i="16"/>
  <c r="L1912" i="16"/>
  <c r="K1912" i="16"/>
  <c r="L1898" i="16"/>
  <c r="L1906" i="16" s="1"/>
  <c r="K1898" i="16"/>
  <c r="K1906" i="16" s="1"/>
  <c r="L1892" i="16"/>
  <c r="K1892" i="16"/>
  <c r="L1884" i="16"/>
  <c r="K1884" i="16"/>
  <c r="K1538" i="16"/>
  <c r="L1538" i="16"/>
  <c r="AJ2036" i="16" l="1"/>
  <c r="AJ1906" i="16"/>
  <c r="AI36" i="5"/>
  <c r="AO10" i="5"/>
  <c r="AO18" i="18"/>
  <c r="AO18" i="5" s="1"/>
  <c r="AI27" i="18"/>
  <c r="AI27" i="5" s="1"/>
  <c r="L1401" i="16"/>
  <c r="K1401" i="16"/>
  <c r="J1401" i="16"/>
  <c r="L1395" i="16"/>
  <c r="K1395" i="16"/>
  <c r="J1395" i="16"/>
  <c r="L1389" i="16"/>
  <c r="K1389" i="16"/>
  <c r="J1389" i="16"/>
  <c r="L1421" i="16"/>
  <c r="K1421" i="16"/>
  <c r="J1421" i="16"/>
  <c r="L1411" i="16"/>
  <c r="T1411" i="16" s="1"/>
  <c r="AA1411" i="16" s="1"/>
  <c r="AH1411" i="16" s="1"/>
  <c r="L1413" i="16"/>
  <c r="T1413" i="16" s="1"/>
  <c r="AA1413" i="16" s="1"/>
  <c r="AH1413" i="16" s="1"/>
  <c r="AJ1413" i="16" s="1"/>
  <c r="L1377" i="16"/>
  <c r="K1377" i="16"/>
  <c r="J1377" i="16"/>
  <c r="L1383" i="16"/>
  <c r="K1383" i="16"/>
  <c r="J1383" i="16"/>
  <c r="J1191" i="16"/>
  <c r="L1183" i="16"/>
  <c r="L1185" i="16" s="1"/>
  <c r="J1183" i="16"/>
  <c r="J1185" i="16" s="1"/>
  <c r="L1177" i="16"/>
  <c r="J1177" i="16"/>
  <c r="L1170" i="16"/>
  <c r="J1170" i="16"/>
  <c r="L1163" i="16"/>
  <c r="J1163" i="16"/>
  <c r="J1155" i="16"/>
  <c r="J1147" i="16"/>
  <c r="L1139" i="16"/>
  <c r="J1139" i="16"/>
  <c r="L1133" i="16"/>
  <c r="J1133" i="16"/>
  <c r="L437" i="16"/>
  <c r="J437" i="16"/>
  <c r="L351" i="16"/>
  <c r="J351" i="16"/>
  <c r="J201" i="16"/>
  <c r="AJ1411" i="16" l="1"/>
  <c r="AH1415" i="16"/>
  <c r="AJ1415" i="16" s="1"/>
  <c r="AA1415" i="16"/>
  <c r="T1415" i="16"/>
  <c r="M567" i="4"/>
  <c r="M508" i="4"/>
  <c r="M512" i="4"/>
  <c r="M518" i="4"/>
  <c r="M538" i="4"/>
  <c r="M542" i="4"/>
  <c r="M544" i="4"/>
  <c r="M565" i="4"/>
  <c r="M552" i="4"/>
  <c r="M560" i="4"/>
  <c r="M135" i="4"/>
  <c r="M571" i="4" l="1"/>
  <c r="M520" i="4"/>
  <c r="M528" i="4" s="1"/>
  <c r="M577" i="4"/>
  <c r="M546" i="4"/>
  <c r="AI10" i="18"/>
  <c r="M131" i="4"/>
  <c r="M573" i="4" s="1"/>
  <c r="M127" i="4"/>
  <c r="F17" i="18" s="1"/>
  <c r="F18" i="18" s="1"/>
  <c r="M84" i="4"/>
  <c r="M75" i="4"/>
  <c r="S127" i="4" l="1"/>
  <c r="M129" i="4"/>
  <c r="F17" i="5"/>
  <c r="M133" i="4"/>
  <c r="M137" i="4" s="1"/>
  <c r="L17" i="18" l="1"/>
  <c r="L18" i="18" s="1"/>
  <c r="L44" i="18" s="1"/>
  <c r="S133" i="4"/>
  <c r="T127" i="4"/>
  <c r="AA127" i="4" s="1"/>
  <c r="T17" i="18" s="1"/>
  <c r="S129" i="4"/>
  <c r="M579" i="4"/>
  <c r="M575" i="4"/>
  <c r="F40" i="5"/>
  <c r="AI8" i="17"/>
  <c r="AI8" i="18"/>
  <c r="AI9" i="18"/>
  <c r="AI21" i="18"/>
  <c r="AI23" i="18"/>
  <c r="AI25" i="18"/>
  <c r="AI26" i="18"/>
  <c r="AI31" i="18"/>
  <c r="AI34" i="18"/>
  <c r="AI46" i="18"/>
  <c r="AI48" i="18"/>
  <c r="F9" i="5"/>
  <c r="F10" i="5"/>
  <c r="F14" i="5"/>
  <c r="F16" i="5"/>
  <c r="F20" i="18"/>
  <c r="F21" i="18"/>
  <c r="F24" i="18"/>
  <c r="F25" i="18"/>
  <c r="F26" i="18" s="1"/>
  <c r="F29" i="18"/>
  <c r="F32" i="18" s="1"/>
  <c r="F33" i="18"/>
  <c r="F34" i="18"/>
  <c r="F35" i="18"/>
  <c r="F36" i="18"/>
  <c r="F36" i="5" s="1"/>
  <c r="F39" i="18"/>
  <c r="F39" i="5" s="1"/>
  <c r="F41" i="18"/>
  <c r="F43" i="18"/>
  <c r="F45" i="18"/>
  <c r="F46" i="18"/>
  <c r="F46" i="5" s="1"/>
  <c r="F48" i="18"/>
  <c r="F48" i="5" s="1"/>
  <c r="AI8" i="19"/>
  <c r="AI9" i="19"/>
  <c r="AI10" i="19"/>
  <c r="AI21" i="19"/>
  <c r="AI23" i="19"/>
  <c r="AI25" i="19"/>
  <c r="AI26" i="19"/>
  <c r="AI29" i="19"/>
  <c r="AI31" i="19"/>
  <c r="AI34" i="19"/>
  <c r="F8" i="19"/>
  <c r="F8" i="5" s="1"/>
  <c r="F11" i="19"/>
  <c r="F13" i="19"/>
  <c r="F20" i="19"/>
  <c r="F21" i="19"/>
  <c r="F33" i="19"/>
  <c r="F35" i="19"/>
  <c r="F38" i="19"/>
  <c r="F42" i="19" s="1"/>
  <c r="F43" i="19"/>
  <c r="F49" i="19"/>
  <c r="T17" i="5" l="1"/>
  <c r="AI10" i="5"/>
  <c r="AI29" i="5"/>
  <c r="AI48" i="5"/>
  <c r="AI46" i="5"/>
  <c r="AI25" i="5"/>
  <c r="L17" i="5"/>
  <c r="L18" i="5" s="1"/>
  <c r="M17" i="18"/>
  <c r="L50" i="18"/>
  <c r="L50" i="5" s="1"/>
  <c r="L44" i="5"/>
  <c r="AI26" i="5"/>
  <c r="AI9" i="5"/>
  <c r="AI34" i="5"/>
  <c r="AI23" i="5"/>
  <c r="AI18" i="17"/>
  <c r="AI8" i="5"/>
  <c r="AI31" i="5"/>
  <c r="AI21" i="5"/>
  <c r="S575" i="4"/>
  <c r="S137" i="4"/>
  <c r="S579" i="4" s="1"/>
  <c r="F18" i="19"/>
  <c r="AI49" i="18"/>
  <c r="F12" i="5"/>
  <c r="F32" i="5"/>
  <c r="F24" i="5"/>
  <c r="F20" i="5"/>
  <c r="F22" i="18"/>
  <c r="F28" i="18" s="1"/>
  <c r="F21" i="5"/>
  <c r="F42" i="18"/>
  <c r="F37" i="18"/>
  <c r="F13" i="5"/>
  <c r="F43" i="5"/>
  <c r="F35" i="5"/>
  <c r="F33" i="5"/>
  <c r="F11" i="5"/>
  <c r="F26" i="5"/>
  <c r="F29" i="5"/>
  <c r="F22" i="19"/>
  <c r="F28" i="19" s="1"/>
  <c r="F38" i="5"/>
  <c r="F25" i="5"/>
  <c r="F49" i="18"/>
  <c r="F49" i="5" s="1"/>
  <c r="F45" i="5"/>
  <c r="F41" i="5"/>
  <c r="F34" i="5"/>
  <c r="F37" i="19"/>
  <c r="AI18" i="19"/>
  <c r="AI18" i="18"/>
  <c r="AG9" i="19"/>
  <c r="AI49" i="5" l="1"/>
  <c r="M17" i="5"/>
  <c r="AI44" i="17"/>
  <c r="AI18" i="5"/>
  <c r="F44" i="18"/>
  <c r="F50" i="18" s="1"/>
  <c r="F18" i="5"/>
  <c r="F28" i="5"/>
  <c r="F42" i="5"/>
  <c r="F37" i="5"/>
  <c r="F44" i="19"/>
  <c r="F50" i="19" s="1"/>
  <c r="F22" i="5"/>
  <c r="D48" i="5"/>
  <c r="C45" i="5"/>
  <c r="K175" i="16"/>
  <c r="L166" i="16"/>
  <c r="T166" i="16" s="1"/>
  <c r="AA166" i="16" s="1"/>
  <c r="AH166" i="16" s="1"/>
  <c r="D11" i="19"/>
  <c r="K135" i="4"/>
  <c r="K129" i="4"/>
  <c r="L124" i="4"/>
  <c r="T124" i="4" s="1"/>
  <c r="AA124" i="4" s="1"/>
  <c r="T11" i="19" s="1"/>
  <c r="M11" i="19" l="1"/>
  <c r="AI50" i="17"/>
  <c r="F50" i="5"/>
  <c r="E11" i="19"/>
  <c r="F44" i="5"/>
  <c r="D46" i="18"/>
  <c r="C46" i="18" l="1"/>
  <c r="D35" i="19"/>
  <c r="D35" i="18"/>
  <c r="D33" i="19"/>
  <c r="C33" i="19"/>
  <c r="D33" i="18"/>
  <c r="C33" i="18"/>
  <c r="D37" i="19" l="1"/>
  <c r="D21" i="19"/>
  <c r="D21" i="18"/>
  <c r="C21" i="19"/>
  <c r="D29" i="18" l="1"/>
  <c r="C24" i="19"/>
  <c r="D24" i="19"/>
  <c r="C10" i="5"/>
  <c r="D10" i="18"/>
  <c r="D10" i="5" s="1"/>
  <c r="D8" i="19"/>
  <c r="D18" i="19" s="1"/>
  <c r="C8" i="19"/>
  <c r="AH23" i="19"/>
  <c r="AG23" i="19"/>
  <c r="AH26" i="19"/>
  <c r="AG26" i="19"/>
  <c r="AG35" i="5"/>
  <c r="AF35" i="5"/>
  <c r="AG8" i="19"/>
  <c r="AF8" i="19"/>
  <c r="K131" i="4"/>
  <c r="J135" i="4"/>
  <c r="K2236" i="16"/>
  <c r="K2238" i="16"/>
  <c r="J2236" i="16"/>
  <c r="J1780" i="16"/>
  <c r="K1780" i="16"/>
  <c r="L1778" i="16"/>
  <c r="T1778" i="16" s="1"/>
  <c r="J1774" i="16"/>
  <c r="K1774" i="16"/>
  <c r="L1772" i="16"/>
  <c r="T1772" i="16" s="1"/>
  <c r="D9" i="5"/>
  <c r="C14" i="5"/>
  <c r="C16" i="5"/>
  <c r="D11" i="18"/>
  <c r="D11" i="5" s="1"/>
  <c r="C11" i="18"/>
  <c r="C11" i="5" s="1"/>
  <c r="AG8" i="17"/>
  <c r="AF8" i="17"/>
  <c r="T1780" i="16" l="1"/>
  <c r="AA1778" i="16"/>
  <c r="T1774" i="16"/>
  <c r="AA1772" i="16"/>
  <c r="AH1772" i="16" s="1"/>
  <c r="L1774" i="16"/>
  <c r="L1780" i="16"/>
  <c r="K2234" i="16"/>
  <c r="K1782" i="16"/>
  <c r="J1782" i="16"/>
  <c r="K279" i="4"/>
  <c r="K242" i="4"/>
  <c r="D24" i="18" s="1"/>
  <c r="L240" i="4"/>
  <c r="T240" i="4" s="1"/>
  <c r="AA240" i="4" s="1"/>
  <c r="AH240" i="4" s="1"/>
  <c r="K569" i="4"/>
  <c r="D46" i="19" s="1"/>
  <c r="D46" i="5" s="1"/>
  <c r="J569" i="4"/>
  <c r="C46" i="19" s="1"/>
  <c r="C46" i="5" s="1"/>
  <c r="K567" i="4"/>
  <c r="J567" i="4"/>
  <c r="K560" i="4"/>
  <c r="J560" i="4"/>
  <c r="K526" i="4"/>
  <c r="J526" i="4"/>
  <c r="L508" i="4"/>
  <c r="J487" i="4"/>
  <c r="J495" i="4"/>
  <c r="L556" i="4"/>
  <c r="E46" i="19" s="1"/>
  <c r="K544" i="4"/>
  <c r="L491" i="4"/>
  <c r="T491" i="4" s="1"/>
  <c r="AA491" i="4" s="1"/>
  <c r="AH491" i="4" s="1"/>
  <c r="L492" i="4"/>
  <c r="T492" i="4" s="1"/>
  <c r="AA492" i="4" s="1"/>
  <c r="AH492" i="4" s="1"/>
  <c r="L493" i="4"/>
  <c r="T493" i="4" s="1"/>
  <c r="AA493" i="4" s="1"/>
  <c r="AH493" i="4" s="1"/>
  <c r="L490" i="4"/>
  <c r="T490" i="4" s="1"/>
  <c r="AA490" i="4" s="1"/>
  <c r="AH490" i="4" s="1"/>
  <c r="L463" i="4"/>
  <c r="T463" i="4" s="1"/>
  <c r="AA463" i="4" s="1"/>
  <c r="AH463" i="4" s="1"/>
  <c r="L464" i="4"/>
  <c r="T464" i="4" s="1"/>
  <c r="AA464" i="4" s="1"/>
  <c r="AH464" i="4" s="1"/>
  <c r="L465" i="4"/>
  <c r="T465" i="4" s="1"/>
  <c r="AA465" i="4" s="1"/>
  <c r="AH465" i="4" s="1"/>
  <c r="L466" i="4"/>
  <c r="T466" i="4" s="1"/>
  <c r="AA466" i="4" s="1"/>
  <c r="AH466" i="4" s="1"/>
  <c r="L467" i="4"/>
  <c r="T467" i="4" s="1"/>
  <c r="AA467" i="4" s="1"/>
  <c r="AH467" i="4" s="1"/>
  <c r="L468" i="4"/>
  <c r="T468" i="4" s="1"/>
  <c r="AA468" i="4" s="1"/>
  <c r="AH468" i="4" s="1"/>
  <c r="L469" i="4"/>
  <c r="T469" i="4" s="1"/>
  <c r="AA469" i="4" s="1"/>
  <c r="AH469" i="4" s="1"/>
  <c r="L470" i="4"/>
  <c r="T470" i="4" s="1"/>
  <c r="AA470" i="4" s="1"/>
  <c r="AH470" i="4" s="1"/>
  <c r="L471" i="4"/>
  <c r="T471" i="4" s="1"/>
  <c r="AA471" i="4" s="1"/>
  <c r="AH471" i="4" s="1"/>
  <c r="L472" i="4"/>
  <c r="T472" i="4" s="1"/>
  <c r="AA472" i="4" s="1"/>
  <c r="AH472" i="4" s="1"/>
  <c r="L473" i="4"/>
  <c r="T473" i="4" s="1"/>
  <c r="AA473" i="4" s="1"/>
  <c r="AH473" i="4" s="1"/>
  <c r="L474" i="4"/>
  <c r="T474" i="4" s="1"/>
  <c r="AA474" i="4" s="1"/>
  <c r="AH474" i="4" s="1"/>
  <c r="L475" i="4"/>
  <c r="T475" i="4" s="1"/>
  <c r="AA475" i="4" s="1"/>
  <c r="AH475" i="4" s="1"/>
  <c r="L476" i="4"/>
  <c r="T476" i="4" s="1"/>
  <c r="AA476" i="4" s="1"/>
  <c r="AH476" i="4" s="1"/>
  <c r="L477" i="4"/>
  <c r="T477" i="4" s="1"/>
  <c r="AA477" i="4" s="1"/>
  <c r="AH477" i="4" s="1"/>
  <c r="L478" i="4"/>
  <c r="T478" i="4" s="1"/>
  <c r="AA478" i="4" s="1"/>
  <c r="AH478" i="4" s="1"/>
  <c r="L479" i="4"/>
  <c r="T479" i="4" s="1"/>
  <c r="AA479" i="4" s="1"/>
  <c r="AH479" i="4" s="1"/>
  <c r="L480" i="4"/>
  <c r="T480" i="4" s="1"/>
  <c r="AA480" i="4" s="1"/>
  <c r="AH480" i="4" s="1"/>
  <c r="L481" i="4"/>
  <c r="T481" i="4" s="1"/>
  <c r="AA481" i="4" s="1"/>
  <c r="AH481" i="4" s="1"/>
  <c r="L482" i="4"/>
  <c r="T482" i="4" s="1"/>
  <c r="AA482" i="4" s="1"/>
  <c r="AH482" i="4" s="1"/>
  <c r="L483" i="4"/>
  <c r="T483" i="4" s="1"/>
  <c r="AA483" i="4" s="1"/>
  <c r="AH483" i="4" s="1"/>
  <c r="J459" i="4"/>
  <c r="L445" i="4"/>
  <c r="L446" i="4"/>
  <c r="T446" i="4" s="1"/>
  <c r="AA446" i="4" s="1"/>
  <c r="AH446" i="4" s="1"/>
  <c r="L447" i="4"/>
  <c r="T447" i="4" s="1"/>
  <c r="AA447" i="4" s="1"/>
  <c r="AH447" i="4" s="1"/>
  <c r="L414" i="4"/>
  <c r="T414" i="4" s="1"/>
  <c r="L415" i="4"/>
  <c r="T415" i="4" s="1"/>
  <c r="AA415" i="4" s="1"/>
  <c r="AH415" i="4" s="1"/>
  <c r="L416" i="4"/>
  <c r="T416" i="4" s="1"/>
  <c r="AA416" i="4" s="1"/>
  <c r="AH416" i="4" s="1"/>
  <c r="L417" i="4"/>
  <c r="T417" i="4" s="1"/>
  <c r="AA417" i="4" s="1"/>
  <c r="AH417" i="4" s="1"/>
  <c r="L418" i="4"/>
  <c r="T418" i="4" s="1"/>
  <c r="AA418" i="4" s="1"/>
  <c r="AH418" i="4" s="1"/>
  <c r="L419" i="4"/>
  <c r="T419" i="4" s="1"/>
  <c r="AA419" i="4" s="1"/>
  <c r="AH419" i="4" s="1"/>
  <c r="L420" i="4"/>
  <c r="T420" i="4" s="1"/>
  <c r="AA420" i="4" s="1"/>
  <c r="AH420" i="4" s="1"/>
  <c r="L421" i="4"/>
  <c r="T421" i="4" s="1"/>
  <c r="AA421" i="4" s="1"/>
  <c r="AH421" i="4" s="1"/>
  <c r="L422" i="4"/>
  <c r="T422" i="4" s="1"/>
  <c r="AA422" i="4" s="1"/>
  <c r="AH422" i="4" s="1"/>
  <c r="L423" i="4"/>
  <c r="T423" i="4" s="1"/>
  <c r="AA423" i="4" s="1"/>
  <c r="AH423" i="4" s="1"/>
  <c r="L424" i="4"/>
  <c r="T424" i="4" s="1"/>
  <c r="AA424" i="4" s="1"/>
  <c r="AH424" i="4" s="1"/>
  <c r="L425" i="4"/>
  <c r="T425" i="4" s="1"/>
  <c r="AA425" i="4" s="1"/>
  <c r="AH425" i="4" s="1"/>
  <c r="L426" i="4"/>
  <c r="T426" i="4" s="1"/>
  <c r="AA426" i="4" s="1"/>
  <c r="AH426" i="4" s="1"/>
  <c r="L427" i="4"/>
  <c r="T427" i="4" s="1"/>
  <c r="AA427" i="4" s="1"/>
  <c r="AH427" i="4" s="1"/>
  <c r="L428" i="4"/>
  <c r="T428" i="4" s="1"/>
  <c r="AA428" i="4" s="1"/>
  <c r="AH428" i="4" s="1"/>
  <c r="L429" i="4"/>
  <c r="T429" i="4" s="1"/>
  <c r="AA429" i="4" s="1"/>
  <c r="AH429" i="4" s="1"/>
  <c r="L430" i="4"/>
  <c r="T430" i="4" s="1"/>
  <c r="AA430" i="4" s="1"/>
  <c r="AH430" i="4" s="1"/>
  <c r="L431" i="4"/>
  <c r="T431" i="4" s="1"/>
  <c r="AA431" i="4" s="1"/>
  <c r="AH431" i="4" s="1"/>
  <c r="L432" i="4"/>
  <c r="T432" i="4" s="1"/>
  <c r="AA432" i="4" s="1"/>
  <c r="AH432" i="4" s="1"/>
  <c r="L433" i="4"/>
  <c r="T433" i="4" s="1"/>
  <c r="AA433" i="4" s="1"/>
  <c r="AH433" i="4" s="1"/>
  <c r="L434" i="4"/>
  <c r="T434" i="4" s="1"/>
  <c r="AA434" i="4" s="1"/>
  <c r="AH434" i="4" s="1"/>
  <c r="L435" i="4"/>
  <c r="T435" i="4" s="1"/>
  <c r="AA435" i="4" s="1"/>
  <c r="AH435" i="4" s="1"/>
  <c r="K355" i="4"/>
  <c r="J343" i="4"/>
  <c r="L340" i="4"/>
  <c r="L246" i="4"/>
  <c r="T246" i="4" s="1"/>
  <c r="AA246" i="4" s="1"/>
  <c r="AH246" i="4" s="1"/>
  <c r="L247" i="4"/>
  <c r="T247" i="4" s="1"/>
  <c r="AA247" i="4" s="1"/>
  <c r="AH247" i="4" s="1"/>
  <c r="J242" i="4"/>
  <c r="J235" i="4"/>
  <c r="J187" i="4"/>
  <c r="C21" i="18" s="1"/>
  <c r="L184" i="4"/>
  <c r="T184" i="4" s="1"/>
  <c r="AA184" i="4" s="1"/>
  <c r="AH184" i="4" s="1"/>
  <c r="AH1774" i="16" l="1"/>
  <c r="AJ1774" i="16" s="1"/>
  <c r="AJ1772" i="16"/>
  <c r="AA1780" i="16"/>
  <c r="AH1778" i="16"/>
  <c r="AH1780" i="16" s="1"/>
  <c r="AH1782" i="16" s="1"/>
  <c r="AJ1782" i="16" s="1"/>
  <c r="AH495" i="4"/>
  <c r="T1782" i="16"/>
  <c r="T35" i="19"/>
  <c r="AA1774" i="16"/>
  <c r="M33" i="19"/>
  <c r="AA414" i="4"/>
  <c r="AA495" i="4"/>
  <c r="T36" i="18" s="1"/>
  <c r="M35" i="19"/>
  <c r="T526" i="4"/>
  <c r="T445" i="4"/>
  <c r="AA445" i="4" s="1"/>
  <c r="AH445" i="4" s="1"/>
  <c r="L343" i="4"/>
  <c r="T340" i="4"/>
  <c r="AA340" i="4" s="1"/>
  <c r="T495" i="4"/>
  <c r="L569" i="4"/>
  <c r="E49" i="19" s="1"/>
  <c r="T556" i="4"/>
  <c r="AA556" i="4" s="1"/>
  <c r="AH556" i="4" s="1"/>
  <c r="K261" i="4"/>
  <c r="L1782" i="16"/>
  <c r="L526" i="4"/>
  <c r="E35" i="19"/>
  <c r="E33" i="19"/>
  <c r="K577" i="4"/>
  <c r="K1405" i="16"/>
  <c r="J1405" i="16"/>
  <c r="J175" i="16"/>
  <c r="L941" i="16"/>
  <c r="T941" i="16" s="1"/>
  <c r="AA941" i="16" s="1"/>
  <c r="AH941" i="16" s="1"/>
  <c r="AJ941" i="16" s="1"/>
  <c r="L533" i="16"/>
  <c r="T533" i="16" s="1"/>
  <c r="AA533" i="16" s="1"/>
  <c r="AH533" i="16" s="1"/>
  <c r="AJ533" i="16" s="1"/>
  <c r="L534" i="16"/>
  <c r="T534" i="16" s="1"/>
  <c r="AA534" i="16" s="1"/>
  <c r="AH534" i="16" s="1"/>
  <c r="AJ534" i="16" s="1"/>
  <c r="K404" i="16"/>
  <c r="L190" i="16"/>
  <c r="T190" i="16" s="1"/>
  <c r="AA190" i="16" s="1"/>
  <c r="AH190" i="16" s="1"/>
  <c r="L191" i="16"/>
  <c r="T191" i="16" s="1"/>
  <c r="AA191" i="16" s="1"/>
  <c r="AH191" i="16" s="1"/>
  <c r="AJ191" i="16" s="1"/>
  <c r="K2284" i="16"/>
  <c r="J2284" i="16"/>
  <c r="K2258" i="16"/>
  <c r="J2258" i="16"/>
  <c r="K2205" i="16"/>
  <c r="J1127" i="16"/>
  <c r="L1125" i="16"/>
  <c r="T1125" i="16" s="1"/>
  <c r="AA1125" i="16" s="1"/>
  <c r="AH1125" i="16" s="1"/>
  <c r="J1121" i="16"/>
  <c r="L1119" i="16"/>
  <c r="T1119" i="16" s="1"/>
  <c r="AA1119" i="16" s="1"/>
  <c r="AH1119" i="16" s="1"/>
  <c r="J1115" i="16"/>
  <c r="L1113" i="16"/>
  <c r="T1113" i="16" s="1"/>
  <c r="AA1113" i="16" s="1"/>
  <c r="AH1113" i="16" s="1"/>
  <c r="J1109" i="16"/>
  <c r="L1107" i="16"/>
  <c r="T1107" i="16" s="1"/>
  <c r="AA1107" i="16" s="1"/>
  <c r="AH1107" i="16" s="1"/>
  <c r="J1087" i="16"/>
  <c r="L1085" i="16"/>
  <c r="T1085" i="16" s="1"/>
  <c r="AA1085" i="16" s="1"/>
  <c r="AH1085" i="16" s="1"/>
  <c r="AJ1085" i="16" s="1"/>
  <c r="L1084" i="16"/>
  <c r="T1084" i="16" s="1"/>
  <c r="AA1084" i="16" s="1"/>
  <c r="AH1084" i="16" s="1"/>
  <c r="AJ1084" i="16" s="1"/>
  <c r="L1083" i="16"/>
  <c r="T1083" i="16" s="1"/>
  <c r="AA1083" i="16" s="1"/>
  <c r="AH1083" i="16" s="1"/>
  <c r="L939" i="16"/>
  <c r="T939" i="16" s="1"/>
  <c r="AA939" i="16" s="1"/>
  <c r="AH939" i="16" s="1"/>
  <c r="K816" i="16"/>
  <c r="J724" i="16"/>
  <c r="L657" i="16"/>
  <c r="T657" i="16" s="1"/>
  <c r="AA657" i="16" s="1"/>
  <c r="AH657" i="16" s="1"/>
  <c r="AJ657" i="16" s="1"/>
  <c r="J659" i="16"/>
  <c r="J631" i="16"/>
  <c r="K568" i="16"/>
  <c r="J568" i="16"/>
  <c r="K1878" i="16"/>
  <c r="J1878" i="16"/>
  <c r="L1876" i="16"/>
  <c r="T1876" i="16" s="1"/>
  <c r="AA1876" i="16" s="1"/>
  <c r="AH1876" i="16" s="1"/>
  <c r="L1874" i="16"/>
  <c r="T1874" i="16" s="1"/>
  <c r="AA1874" i="16" s="1"/>
  <c r="AH1874" i="16" s="1"/>
  <c r="AJ1874" i="16" s="1"/>
  <c r="L1873" i="16"/>
  <c r="T1873" i="16" s="1"/>
  <c r="AA1873" i="16" s="1"/>
  <c r="AH1873" i="16" s="1"/>
  <c r="L1872" i="16"/>
  <c r="T1872" i="16" s="1"/>
  <c r="AA1872" i="16" s="1"/>
  <c r="AH1872" i="16" s="1"/>
  <c r="K1868" i="16"/>
  <c r="J1868" i="16"/>
  <c r="L1865" i="16"/>
  <c r="T1865" i="16" s="1"/>
  <c r="AA1865" i="16" s="1"/>
  <c r="AH1865" i="16" s="1"/>
  <c r="L1863" i="16"/>
  <c r="T1863" i="16" s="1"/>
  <c r="AA1863" i="16" s="1"/>
  <c r="AH1863" i="16" s="1"/>
  <c r="L1862" i="16"/>
  <c r="T1862" i="16" s="1"/>
  <c r="AA1862" i="16" s="1"/>
  <c r="AH1862" i="16" s="1"/>
  <c r="L1861" i="16"/>
  <c r="T1861" i="16" s="1"/>
  <c r="AA1861" i="16" s="1"/>
  <c r="AH1861" i="16" s="1"/>
  <c r="K1857" i="16"/>
  <c r="L1855" i="16"/>
  <c r="T1855" i="16" s="1"/>
  <c r="K1851" i="16"/>
  <c r="L1849" i="16"/>
  <c r="T1849" i="16" s="1"/>
  <c r="AA1849" i="16" s="1"/>
  <c r="AH1849" i="16" s="1"/>
  <c r="K1843" i="16"/>
  <c r="L1841" i="16"/>
  <c r="T1841" i="16" s="1"/>
  <c r="AA1841" i="16" s="1"/>
  <c r="AH1841" i="16" s="1"/>
  <c r="K1837" i="16"/>
  <c r="L1835" i="16"/>
  <c r="T1835" i="16" s="1"/>
  <c r="K1831" i="16"/>
  <c r="L1829" i="16"/>
  <c r="T1829" i="16" s="1"/>
  <c r="AA1829" i="16" s="1"/>
  <c r="AH1829" i="16" s="1"/>
  <c r="K1825" i="16"/>
  <c r="J1825" i="16"/>
  <c r="L1823" i="16"/>
  <c r="T1823" i="16" s="1"/>
  <c r="AA1823" i="16" s="1"/>
  <c r="AH1823" i="16" s="1"/>
  <c r="L1821" i="16"/>
  <c r="T1821" i="16" s="1"/>
  <c r="AA1821" i="16" s="1"/>
  <c r="AH1821" i="16" s="1"/>
  <c r="K1817" i="16"/>
  <c r="L1815" i="16"/>
  <c r="T1815" i="16" s="1"/>
  <c r="K1811" i="16"/>
  <c r="L1809" i="16"/>
  <c r="T1809" i="16" s="1"/>
  <c r="AA1809" i="16" s="1"/>
  <c r="AH1809" i="16" s="1"/>
  <c r="K1802" i="16"/>
  <c r="L1800" i="16"/>
  <c r="T1800" i="16" s="1"/>
  <c r="AA1800" i="16" s="1"/>
  <c r="AH1800" i="16" s="1"/>
  <c r="K1794" i="16"/>
  <c r="L1792" i="16"/>
  <c r="T1792" i="16" s="1"/>
  <c r="AA1792" i="16" s="1"/>
  <c r="AH1792" i="16" s="1"/>
  <c r="K1788" i="16"/>
  <c r="L1786" i="16"/>
  <c r="T1786" i="16" s="1"/>
  <c r="AA1786" i="16" s="1"/>
  <c r="AH1786" i="16" s="1"/>
  <c r="K1767" i="16"/>
  <c r="L1765" i="16"/>
  <c r="T1765" i="16" s="1"/>
  <c r="AA1765" i="16" s="1"/>
  <c r="AH1765" i="16" s="1"/>
  <c r="K1761" i="16"/>
  <c r="L1758" i="16"/>
  <c r="T1758" i="16" s="1"/>
  <c r="K1748" i="16"/>
  <c r="J1748" i="16"/>
  <c r="L1746" i="16"/>
  <c r="T1746" i="16" s="1"/>
  <c r="K1734" i="16"/>
  <c r="K1752" i="16" s="1"/>
  <c r="J1734" i="16"/>
  <c r="J1752" i="16" s="1"/>
  <c r="L1732" i="16"/>
  <c r="T1732" i="16" s="1"/>
  <c r="K1728" i="16"/>
  <c r="J1728" i="16"/>
  <c r="L1725" i="16"/>
  <c r="T1725" i="16" s="1"/>
  <c r="AA1725" i="16" s="1"/>
  <c r="AH1725" i="16" s="1"/>
  <c r="AJ1725" i="16" s="1"/>
  <c r="L1722" i="16"/>
  <c r="T1722" i="16" s="1"/>
  <c r="AA1722" i="16" s="1"/>
  <c r="AH1722" i="16" s="1"/>
  <c r="K1718" i="16"/>
  <c r="J1718" i="16"/>
  <c r="L1716" i="16"/>
  <c r="T1716" i="16" s="1"/>
  <c r="AA1716" i="16" s="1"/>
  <c r="AH1716" i="16" s="1"/>
  <c r="AJ1716" i="16" s="1"/>
  <c r="L1714" i="16"/>
  <c r="T1714" i="16" s="1"/>
  <c r="AA1714" i="16" s="1"/>
  <c r="AH1714" i="16" s="1"/>
  <c r="K1710" i="16"/>
  <c r="J1710" i="16"/>
  <c r="L1708" i="16"/>
  <c r="T1708" i="16" s="1"/>
  <c r="AA1708" i="16" s="1"/>
  <c r="AH1708" i="16" s="1"/>
  <c r="AJ1708" i="16" s="1"/>
  <c r="L1706" i="16"/>
  <c r="T1706" i="16" s="1"/>
  <c r="AA1706" i="16" s="1"/>
  <c r="AH1706" i="16" s="1"/>
  <c r="K1702" i="16"/>
  <c r="J1702" i="16"/>
  <c r="L1700" i="16"/>
  <c r="T1700" i="16" s="1"/>
  <c r="AA1700" i="16" s="1"/>
  <c r="AH1700" i="16" s="1"/>
  <c r="AJ1700" i="16" s="1"/>
  <c r="L1698" i="16"/>
  <c r="T1698" i="16" s="1"/>
  <c r="AA1698" i="16" s="1"/>
  <c r="AH1698" i="16" s="1"/>
  <c r="K1694" i="16"/>
  <c r="J1694" i="16"/>
  <c r="L1692" i="16"/>
  <c r="T1692" i="16" s="1"/>
  <c r="AA1692" i="16" s="1"/>
  <c r="AH1692" i="16" s="1"/>
  <c r="AJ1692" i="16" s="1"/>
  <c r="L1690" i="16"/>
  <c r="T1690" i="16" s="1"/>
  <c r="AA1690" i="16" s="1"/>
  <c r="AH1690" i="16" s="1"/>
  <c r="K1686" i="16"/>
  <c r="J1686" i="16"/>
  <c r="L1684" i="16"/>
  <c r="T1684" i="16" s="1"/>
  <c r="AA1684" i="16" s="1"/>
  <c r="AH1684" i="16" s="1"/>
  <c r="AJ1684" i="16" s="1"/>
  <c r="L1682" i="16"/>
  <c r="T1682" i="16" s="1"/>
  <c r="AA1682" i="16" s="1"/>
  <c r="AH1682" i="16" s="1"/>
  <c r="K1678" i="16"/>
  <c r="J1678" i="16"/>
  <c r="L1676" i="16"/>
  <c r="T1676" i="16" s="1"/>
  <c r="AA1676" i="16" s="1"/>
  <c r="AH1676" i="16" s="1"/>
  <c r="AJ1676" i="16" s="1"/>
  <c r="L1674" i="16"/>
  <c r="T1674" i="16" s="1"/>
  <c r="AA1674" i="16" s="1"/>
  <c r="AH1674" i="16" s="1"/>
  <c r="K1670" i="16"/>
  <c r="J1670" i="16"/>
  <c r="L1668" i="16"/>
  <c r="T1668" i="16" s="1"/>
  <c r="AA1668" i="16" s="1"/>
  <c r="AH1668" i="16" s="1"/>
  <c r="AJ1668" i="16" s="1"/>
  <c r="L1666" i="16"/>
  <c r="T1666" i="16" s="1"/>
  <c r="AA1666" i="16" s="1"/>
  <c r="AH1666" i="16" s="1"/>
  <c r="K1662" i="16"/>
  <c r="J1662" i="16"/>
  <c r="L1660" i="16"/>
  <c r="T1660" i="16" s="1"/>
  <c r="AA1660" i="16" s="1"/>
  <c r="AH1660" i="16" s="1"/>
  <c r="AJ1660" i="16" s="1"/>
  <c r="L1658" i="16"/>
  <c r="T1658" i="16" s="1"/>
  <c r="AA1658" i="16" s="1"/>
  <c r="AH1658" i="16" s="1"/>
  <c r="K1654" i="16"/>
  <c r="J1654" i="16"/>
  <c r="L1652" i="16"/>
  <c r="T1652" i="16" s="1"/>
  <c r="AA1652" i="16" s="1"/>
  <c r="AH1652" i="16" s="1"/>
  <c r="AJ1652" i="16" s="1"/>
  <c r="L1650" i="16"/>
  <c r="T1650" i="16" s="1"/>
  <c r="AA1650" i="16" s="1"/>
  <c r="AH1650" i="16" s="1"/>
  <c r="K1646" i="16"/>
  <c r="J1646" i="16"/>
  <c r="L1644" i="16"/>
  <c r="T1644" i="16" s="1"/>
  <c r="AA1644" i="16" s="1"/>
  <c r="AH1644" i="16" s="1"/>
  <c r="AJ1644" i="16" s="1"/>
  <c r="L1642" i="16"/>
  <c r="T1642" i="16" s="1"/>
  <c r="AA1642" i="16" s="1"/>
  <c r="AH1642" i="16" s="1"/>
  <c r="K1638" i="16"/>
  <c r="J1638" i="16"/>
  <c r="L1636" i="16"/>
  <c r="T1636" i="16" s="1"/>
  <c r="AA1636" i="16" s="1"/>
  <c r="AH1636" i="16" s="1"/>
  <c r="L1634" i="16"/>
  <c r="T1634" i="16" s="1"/>
  <c r="AA1634" i="16" s="1"/>
  <c r="AH1634" i="16" s="1"/>
  <c r="K1630" i="16"/>
  <c r="J1630" i="16"/>
  <c r="L1628" i="16"/>
  <c r="T1628" i="16" s="1"/>
  <c r="AA1628" i="16" s="1"/>
  <c r="AH1628" i="16" s="1"/>
  <c r="L1626" i="16"/>
  <c r="T1626" i="16" s="1"/>
  <c r="AA1626" i="16" s="1"/>
  <c r="AH1626" i="16" s="1"/>
  <c r="K1622" i="16"/>
  <c r="J1622" i="16"/>
  <c r="L1620" i="16"/>
  <c r="T1620" i="16" s="1"/>
  <c r="AA1620" i="16" s="1"/>
  <c r="AH1620" i="16" s="1"/>
  <c r="L1618" i="16"/>
  <c r="T1618" i="16" s="1"/>
  <c r="AA1618" i="16" s="1"/>
  <c r="AH1618" i="16" s="1"/>
  <c r="K1614" i="16"/>
  <c r="J1614" i="16"/>
  <c r="L1612" i="16"/>
  <c r="T1612" i="16" s="1"/>
  <c r="AA1612" i="16" s="1"/>
  <c r="AH1612" i="16" s="1"/>
  <c r="L1610" i="16"/>
  <c r="T1610" i="16" s="1"/>
  <c r="AA1610" i="16" s="1"/>
  <c r="AH1610" i="16" s="1"/>
  <c r="K1606" i="16"/>
  <c r="J1606" i="16"/>
  <c r="L1604" i="16"/>
  <c r="T1604" i="16" s="1"/>
  <c r="AA1604" i="16" s="1"/>
  <c r="AH1604" i="16" s="1"/>
  <c r="AJ1604" i="16" s="1"/>
  <c r="L1602" i="16"/>
  <c r="T1602" i="16" s="1"/>
  <c r="AA1602" i="16" s="1"/>
  <c r="AH1602" i="16" s="1"/>
  <c r="K1595" i="16"/>
  <c r="J1595" i="16"/>
  <c r="L1593" i="16"/>
  <c r="T1593" i="16" s="1"/>
  <c r="AA1593" i="16" s="1"/>
  <c r="AH1593" i="16" s="1"/>
  <c r="AJ1593" i="16" s="1"/>
  <c r="L1591" i="16"/>
  <c r="T1591" i="16" s="1"/>
  <c r="AA1591" i="16" s="1"/>
  <c r="AH1591" i="16" s="1"/>
  <c r="K1585" i="16"/>
  <c r="J1585" i="16"/>
  <c r="L1583" i="16"/>
  <c r="T1583" i="16" s="1"/>
  <c r="AA1583" i="16" s="1"/>
  <c r="AH1583" i="16" s="1"/>
  <c r="L1581" i="16"/>
  <c r="T1581" i="16" s="1"/>
  <c r="AA1581" i="16" s="1"/>
  <c r="AH1581" i="16" s="1"/>
  <c r="K1577" i="16"/>
  <c r="J1577" i="16"/>
  <c r="L1575" i="16"/>
  <c r="T1575" i="16" s="1"/>
  <c r="AA1575" i="16" s="1"/>
  <c r="AH1575" i="16" s="1"/>
  <c r="AJ1575" i="16" s="1"/>
  <c r="L1573" i="16"/>
  <c r="T1573" i="16" s="1"/>
  <c r="AA1573" i="16" s="1"/>
  <c r="AH1573" i="16" s="1"/>
  <c r="K1569" i="16"/>
  <c r="J1569" i="16"/>
  <c r="L1567" i="16"/>
  <c r="T1567" i="16" s="1"/>
  <c r="AA1567" i="16" s="1"/>
  <c r="AH1567" i="16" s="1"/>
  <c r="AJ1567" i="16" s="1"/>
  <c r="L1565" i="16"/>
  <c r="T1565" i="16" s="1"/>
  <c r="AA1565" i="16" s="1"/>
  <c r="AH1565" i="16" s="1"/>
  <c r="K1561" i="16"/>
  <c r="J1561" i="16"/>
  <c r="J1597" i="16" s="1"/>
  <c r="L1559" i="16"/>
  <c r="T1559" i="16" s="1"/>
  <c r="AA1559" i="16" s="1"/>
  <c r="AH1559" i="16" s="1"/>
  <c r="L1557" i="16"/>
  <c r="T1557" i="16" s="1"/>
  <c r="AA1557" i="16" s="1"/>
  <c r="AH1557" i="16" s="1"/>
  <c r="AJ1557" i="16" s="1"/>
  <c r="L1556" i="16"/>
  <c r="T1556" i="16" s="1"/>
  <c r="AA1556" i="16" s="1"/>
  <c r="AH1556" i="16" s="1"/>
  <c r="L1555" i="16"/>
  <c r="T1555" i="16" s="1"/>
  <c r="AA1555" i="16" s="1"/>
  <c r="AH1555" i="16" s="1"/>
  <c r="K1435" i="16"/>
  <c r="L1433" i="16"/>
  <c r="T1433" i="16" s="1"/>
  <c r="AA1433" i="16" s="1"/>
  <c r="AH1433" i="16" s="1"/>
  <c r="L1369" i="16"/>
  <c r="T1369" i="16" s="1"/>
  <c r="AA1369" i="16" s="1"/>
  <c r="AH1369" i="16" s="1"/>
  <c r="AJ1369" i="16" s="1"/>
  <c r="L1264" i="16"/>
  <c r="T1264" i="16" s="1"/>
  <c r="AA1264" i="16" s="1"/>
  <c r="AH1264" i="16" s="1"/>
  <c r="L162" i="16"/>
  <c r="T162" i="16" s="1"/>
  <c r="AA162" i="16" s="1"/>
  <c r="AH162" i="16" s="1"/>
  <c r="L159" i="16"/>
  <c r="T159" i="16" s="1"/>
  <c r="AA159" i="16" s="1"/>
  <c r="AH159" i="16" s="1"/>
  <c r="L156" i="16"/>
  <c r="T156" i="16" s="1"/>
  <c r="AA156" i="16" s="1"/>
  <c r="AH156" i="16" s="1"/>
  <c r="L123" i="4"/>
  <c r="T123" i="4" s="1"/>
  <c r="AA123" i="4" s="1"/>
  <c r="T8" i="19" s="1"/>
  <c r="L125" i="4"/>
  <c r="AH1788" i="16" l="1"/>
  <c r="AJ1788" i="16" s="1"/>
  <c r="AJ1786" i="16"/>
  <c r="AJ1800" i="16"/>
  <c r="AH1802" i="16"/>
  <c r="AJ1802" i="16" s="1"/>
  <c r="AH1767" i="16"/>
  <c r="AJ1767" i="16" s="1"/>
  <c r="AJ1765" i="16"/>
  <c r="AH1794" i="16"/>
  <c r="AJ1794" i="16" s="1"/>
  <c r="AJ1792" i="16"/>
  <c r="AJ1809" i="16"/>
  <c r="AH1811" i="16"/>
  <c r="AJ1811" i="16" s="1"/>
  <c r="AJ1829" i="16"/>
  <c r="AH1831" i="16"/>
  <c r="AJ1831" i="16" s="1"/>
  <c r="AJ1841" i="16"/>
  <c r="AH1843" i="16"/>
  <c r="AJ1843" i="16" s="1"/>
  <c r="AA1782" i="16"/>
  <c r="AH1825" i="16"/>
  <c r="AJ1825" i="16" s="1"/>
  <c r="AH1878" i="16"/>
  <c r="AJ1849" i="16"/>
  <c r="AH1851" i="16"/>
  <c r="AJ1851" i="16" s="1"/>
  <c r="AH1868" i="16"/>
  <c r="AJ1868" i="16" s="1"/>
  <c r="AJ1602" i="16"/>
  <c r="AH1606" i="16"/>
  <c r="AJ1642" i="16"/>
  <c r="AH1646" i="16"/>
  <c r="AJ1646" i="16" s="1"/>
  <c r="AJ1658" i="16"/>
  <c r="AH1662" i="16"/>
  <c r="AJ1662" i="16" s="1"/>
  <c r="AJ1666" i="16"/>
  <c r="AH1670" i="16"/>
  <c r="AJ1670" i="16" s="1"/>
  <c r="AJ1674" i="16"/>
  <c r="AH1678" i="16"/>
  <c r="AJ1678" i="16" s="1"/>
  <c r="AJ1682" i="16"/>
  <c r="AH1686" i="16"/>
  <c r="AJ1686" i="16" s="1"/>
  <c r="AJ1690" i="16"/>
  <c r="AH1694" i="16"/>
  <c r="AJ1694" i="16" s="1"/>
  <c r="AJ1698" i="16"/>
  <c r="AH1702" i="16"/>
  <c r="AJ1702" i="16" s="1"/>
  <c r="AJ1706" i="16"/>
  <c r="AH1710" i="16"/>
  <c r="AJ1710" i="16" s="1"/>
  <c r="AJ1714" i="16"/>
  <c r="AH1718" i="16"/>
  <c r="AJ1718" i="16" s="1"/>
  <c r="AJ1722" i="16"/>
  <c r="AH1728" i="16"/>
  <c r="AJ1728" i="16" s="1"/>
  <c r="AJ1113" i="16"/>
  <c r="AH1115" i="16"/>
  <c r="AJ1115" i="16" s="1"/>
  <c r="AJ1125" i="16"/>
  <c r="AH1127" i="16"/>
  <c r="AJ1127" i="16" s="1"/>
  <c r="AJ1565" i="16"/>
  <c r="AH1569" i="16"/>
  <c r="AJ1569" i="16" s="1"/>
  <c r="AJ1591" i="16"/>
  <c r="AH1595" i="16"/>
  <c r="AJ1595" i="16" s="1"/>
  <c r="AJ1626" i="16"/>
  <c r="AH1630" i="16"/>
  <c r="AJ1630" i="16" s="1"/>
  <c r="AJ939" i="16"/>
  <c r="AJ1433" i="16"/>
  <c r="AH1435" i="16"/>
  <c r="AJ1435" i="16" s="1"/>
  <c r="AJ1581" i="16"/>
  <c r="AH1585" i="16"/>
  <c r="AJ1585" i="16" s="1"/>
  <c r="AJ1610" i="16"/>
  <c r="AH1614" i="16"/>
  <c r="AJ1614" i="16" s="1"/>
  <c r="AJ1634" i="16"/>
  <c r="AH1638" i="16"/>
  <c r="AJ1638" i="16" s="1"/>
  <c r="AH1561" i="16"/>
  <c r="AJ1561" i="16" s="1"/>
  <c r="AJ1083" i="16"/>
  <c r="AH1087" i="16"/>
  <c r="AJ1107" i="16"/>
  <c r="AH1109" i="16"/>
  <c r="AJ1109" i="16" s="1"/>
  <c r="AJ1119" i="16"/>
  <c r="AH1121" i="16"/>
  <c r="AJ1121" i="16" s="1"/>
  <c r="AJ1573" i="16"/>
  <c r="AH1577" i="16"/>
  <c r="AJ1577" i="16" s="1"/>
  <c r="AJ1618" i="16"/>
  <c r="AH1622" i="16"/>
  <c r="AJ1622" i="16" s="1"/>
  <c r="AJ1650" i="16"/>
  <c r="AH1654" i="16"/>
  <c r="AJ1654" i="16" s="1"/>
  <c r="AJ190" i="16"/>
  <c r="T33" i="19"/>
  <c r="AH414" i="4"/>
  <c r="AA36" i="5"/>
  <c r="AA343" i="4"/>
  <c r="AH340" i="4"/>
  <c r="AH343" i="4" s="1"/>
  <c r="AH569" i="4"/>
  <c r="AA569" i="4"/>
  <c r="T46" i="19"/>
  <c r="T36" i="5"/>
  <c r="T37" i="19"/>
  <c r="AA526" i="4"/>
  <c r="AA1767" i="16"/>
  <c r="AA1794" i="16"/>
  <c r="AA1811" i="16"/>
  <c r="AA1831" i="16"/>
  <c r="AA1843" i="16"/>
  <c r="AA1435" i="16"/>
  <c r="AA1788" i="16"/>
  <c r="AA1802" i="16"/>
  <c r="AA1851" i="16"/>
  <c r="AA1121" i="16"/>
  <c r="AA1115" i="16"/>
  <c r="AA1127" i="16"/>
  <c r="AA1868" i="16"/>
  <c r="AA1569" i="16"/>
  <c r="AA1577" i="16"/>
  <c r="AA1585" i="16"/>
  <c r="AA1595" i="16"/>
  <c r="AA1614" i="16"/>
  <c r="AA1622" i="16"/>
  <c r="AA1638" i="16"/>
  <c r="AA1646" i="16"/>
  <c r="AA1654" i="16"/>
  <c r="AA1662" i="16"/>
  <c r="AA1670" i="16"/>
  <c r="AA1694" i="16"/>
  <c r="AA1702" i="16"/>
  <c r="AA1710" i="16"/>
  <c r="AA1718" i="16"/>
  <c r="AA1728" i="16"/>
  <c r="AA1686" i="16"/>
  <c r="AA1678" i="16"/>
  <c r="AA1630" i="16"/>
  <c r="AA1606" i="16"/>
  <c r="AA1087" i="16"/>
  <c r="AA1561" i="16"/>
  <c r="T1761" i="16"/>
  <c r="AA1758" i="16"/>
  <c r="T1817" i="16"/>
  <c r="AA1815" i="16"/>
  <c r="AH1815" i="16" s="1"/>
  <c r="AA1109" i="16"/>
  <c r="T1837" i="16"/>
  <c r="AA1835" i="16"/>
  <c r="AH1835" i="16" s="1"/>
  <c r="T1748" i="16"/>
  <c r="AA1746" i="16"/>
  <c r="T1734" i="16"/>
  <c r="T1752" i="16" s="1"/>
  <c r="AP25" i="19" s="1"/>
  <c r="AA1732" i="16"/>
  <c r="AH1732" i="16" s="1"/>
  <c r="T1857" i="16"/>
  <c r="AA1855" i="16"/>
  <c r="AA1825" i="16"/>
  <c r="AA1878" i="16"/>
  <c r="M36" i="18"/>
  <c r="M8" i="19"/>
  <c r="M46" i="19"/>
  <c r="T569" i="4"/>
  <c r="T125" i="4"/>
  <c r="AA125" i="4" s="1"/>
  <c r="E12" i="17"/>
  <c r="E18" i="17" s="1"/>
  <c r="T343" i="4"/>
  <c r="M37" i="19"/>
  <c r="T1121" i="16"/>
  <c r="T1788" i="16"/>
  <c r="T1087" i="16"/>
  <c r="T1109" i="16"/>
  <c r="T1435" i="16"/>
  <c r="T1577" i="16"/>
  <c r="T1585" i="16"/>
  <c r="T1767" i="16"/>
  <c r="T1794" i="16"/>
  <c r="T1811" i="16"/>
  <c r="T1831" i="16"/>
  <c r="T1843" i="16"/>
  <c r="T1115" i="16"/>
  <c r="T1127" i="16"/>
  <c r="T1802" i="16"/>
  <c r="T1851" i="16"/>
  <c r="T1595" i="16"/>
  <c r="T1606" i="16"/>
  <c r="T1614" i="16"/>
  <c r="T1622" i="16"/>
  <c r="T1630" i="16"/>
  <c r="T1638" i="16"/>
  <c r="T1646" i="16"/>
  <c r="T1654" i="16"/>
  <c r="T1662" i="16"/>
  <c r="T1670" i="16"/>
  <c r="T1678" i="16"/>
  <c r="T1694" i="16"/>
  <c r="T1702" i="16"/>
  <c r="T1825" i="16"/>
  <c r="T1710" i="16"/>
  <c r="T1718" i="16"/>
  <c r="T1728" i="16"/>
  <c r="T1686" i="16"/>
  <c r="T1569" i="16"/>
  <c r="T1878" i="16"/>
  <c r="T1868" i="16"/>
  <c r="T1561" i="16"/>
  <c r="L131" i="4"/>
  <c r="AH36" i="5"/>
  <c r="L1802" i="16"/>
  <c r="L1817" i="16"/>
  <c r="L1837" i="16"/>
  <c r="L1851" i="16"/>
  <c r="L1811" i="16"/>
  <c r="L1831" i="16"/>
  <c r="L1843" i="16"/>
  <c r="L1857" i="16"/>
  <c r="L1788" i="16"/>
  <c r="L1748" i="16"/>
  <c r="L1435" i="16"/>
  <c r="L1734" i="16"/>
  <c r="L1752" i="16" s="1"/>
  <c r="AH25" i="19" s="1"/>
  <c r="L1767" i="16"/>
  <c r="L1794" i="16"/>
  <c r="L1109" i="16"/>
  <c r="L1121" i="16"/>
  <c r="L1115" i="16"/>
  <c r="L1127" i="16"/>
  <c r="J816" i="16"/>
  <c r="J730" i="16"/>
  <c r="J736" i="16" s="1"/>
  <c r="J742" i="16" s="1"/>
  <c r="J748" i="16" s="1"/>
  <c r="J754" i="16" s="1"/>
  <c r="J760" i="16" s="1"/>
  <c r="J766" i="16" s="1"/>
  <c r="J772" i="16" s="1"/>
  <c r="J778" i="16" s="1"/>
  <c r="J784" i="16" s="1"/>
  <c r="J790" i="16" s="1"/>
  <c r="J796" i="16" s="1"/>
  <c r="J802" i="16" s="1"/>
  <c r="J808" i="16" s="1"/>
  <c r="J814" i="16" s="1"/>
  <c r="E37" i="19"/>
  <c r="E8" i="19"/>
  <c r="J2038" i="16"/>
  <c r="AG25" i="19"/>
  <c r="AG31" i="19"/>
  <c r="J2286" i="16"/>
  <c r="AF36" i="18"/>
  <c r="K2286" i="16"/>
  <c r="AG36" i="18"/>
  <c r="K2038" i="16"/>
  <c r="K2034" i="16" s="1"/>
  <c r="AG26" i="18" s="1"/>
  <c r="L2258" i="16"/>
  <c r="L2286" i="16" s="1"/>
  <c r="L1087" i="16"/>
  <c r="L1825" i="16"/>
  <c r="L1868" i="16"/>
  <c r="J1742" i="16"/>
  <c r="J1750" i="16" s="1"/>
  <c r="AF25" i="18" s="1"/>
  <c r="L1606" i="16"/>
  <c r="L1614" i="16"/>
  <c r="L1622" i="16"/>
  <c r="L1630" i="16"/>
  <c r="L1638" i="16"/>
  <c r="L1646" i="16"/>
  <c r="L1654" i="16"/>
  <c r="L1662" i="16"/>
  <c r="L1670" i="16"/>
  <c r="L1678" i="16"/>
  <c r="L1686" i="16"/>
  <c r="L1694" i="16"/>
  <c r="L1702" i="16"/>
  <c r="L1710" i="16"/>
  <c r="L1718" i="16"/>
  <c r="L1728" i="16"/>
  <c r="L1561" i="16"/>
  <c r="K1597" i="16"/>
  <c r="L1569" i="16"/>
  <c r="L1577" i="16"/>
  <c r="L1585" i="16"/>
  <c r="L1595" i="16"/>
  <c r="K1742" i="16"/>
  <c r="L1878" i="16"/>
  <c r="L1761" i="16"/>
  <c r="L92" i="4"/>
  <c r="T92" i="4" s="1"/>
  <c r="L103" i="4"/>
  <c r="T103" i="4" s="1"/>
  <c r="AA103" i="4" s="1"/>
  <c r="AH103" i="4" s="1"/>
  <c r="L104" i="4"/>
  <c r="L106" i="4"/>
  <c r="L108" i="16"/>
  <c r="T108" i="16" s="1"/>
  <c r="AA108" i="16" s="1"/>
  <c r="AH108" i="16" s="1"/>
  <c r="AJ1878" i="16" l="1"/>
  <c r="AA1857" i="16"/>
  <c r="AH1855" i="16"/>
  <c r="AJ1815" i="16"/>
  <c r="AH1817" i="16"/>
  <c r="AJ1817" i="16" s="1"/>
  <c r="AH1837" i="16"/>
  <c r="AJ1837" i="16" s="1"/>
  <c r="AJ1835" i="16"/>
  <c r="AJ1606" i="16"/>
  <c r="AJ1087" i="16"/>
  <c r="AJ1732" i="16"/>
  <c r="AH1734" i="16"/>
  <c r="AH1742" i="16" s="1"/>
  <c r="AJ1742" i="16" s="1"/>
  <c r="AA1761" i="16"/>
  <c r="AH1758" i="16"/>
  <c r="AA1748" i="16"/>
  <c r="AH1746" i="16"/>
  <c r="AH1597" i="16"/>
  <c r="AJ1597" i="16" s="1"/>
  <c r="AA131" i="4"/>
  <c r="T12" i="17"/>
  <c r="T49" i="19"/>
  <c r="AG36" i="5"/>
  <c r="AF36" i="5"/>
  <c r="AA1817" i="16"/>
  <c r="AA1734" i="16"/>
  <c r="AA1837" i="16"/>
  <c r="AA1597" i="16"/>
  <c r="M10" i="18"/>
  <c r="M10" i="5" s="1"/>
  <c r="AA92" i="4"/>
  <c r="M49" i="19"/>
  <c r="M36" i="5"/>
  <c r="T131" i="4"/>
  <c r="M12" i="17"/>
  <c r="T106" i="4"/>
  <c r="AA106" i="4" s="1"/>
  <c r="E11" i="18"/>
  <c r="E11" i="5" s="1"/>
  <c r="T2038" i="16"/>
  <c r="T1742" i="16"/>
  <c r="T1597" i="16"/>
  <c r="T104" i="4"/>
  <c r="E10" i="18"/>
  <c r="E10" i="5" s="1"/>
  <c r="L2038" i="16"/>
  <c r="L2034" i="16" s="1"/>
  <c r="AH26" i="18" s="1"/>
  <c r="J2034" i="16"/>
  <c r="AF26" i="18" s="1"/>
  <c r="J1754" i="16"/>
  <c r="L1597" i="16"/>
  <c r="L1742" i="16"/>
  <c r="K1754" i="16"/>
  <c r="K1750" i="16"/>
  <c r="AG25" i="18" s="1"/>
  <c r="K1363" i="16"/>
  <c r="J1363" i="16"/>
  <c r="J1304" i="16"/>
  <c r="AG48" i="18"/>
  <c r="AF48" i="18"/>
  <c r="AG21" i="19"/>
  <c r="AG10" i="19"/>
  <c r="AF10" i="19"/>
  <c r="AF9" i="19"/>
  <c r="AG9" i="18"/>
  <c r="AF9" i="18"/>
  <c r="AG8" i="18"/>
  <c r="AF8" i="18"/>
  <c r="D13" i="18"/>
  <c r="D13" i="5" s="1"/>
  <c r="D16" i="18"/>
  <c r="D16" i="5" s="1"/>
  <c r="D15" i="18"/>
  <c r="D15" i="5" s="1"/>
  <c r="C15" i="18"/>
  <c r="C15" i="5" s="1"/>
  <c r="C13" i="18"/>
  <c r="D8" i="18"/>
  <c r="C8" i="18"/>
  <c r="D39" i="5"/>
  <c r="C41" i="5"/>
  <c r="L689" i="16"/>
  <c r="T689" i="16" s="1"/>
  <c r="AA689" i="16" s="1"/>
  <c r="AH689" i="16" s="1"/>
  <c r="AJ689" i="16" s="1"/>
  <c r="D20" i="18"/>
  <c r="C20" i="18"/>
  <c r="D29" i="17"/>
  <c r="C29" i="17"/>
  <c r="K2071" i="16"/>
  <c r="L2069" i="16"/>
  <c r="T2069" i="16" s="1"/>
  <c r="AF27" i="5"/>
  <c r="K2247" i="16"/>
  <c r="K2249" i="16" s="1"/>
  <c r="J2247" i="16"/>
  <c r="J2249" i="16" s="1"/>
  <c r="L2244" i="16"/>
  <c r="T2244" i="16" s="1"/>
  <c r="AA2244" i="16" s="1"/>
  <c r="AH2244" i="16" s="1"/>
  <c r="J2238" i="16"/>
  <c r="J2234" i="16" s="1"/>
  <c r="AF34" i="18" s="1"/>
  <c r="AF34" i="19"/>
  <c r="AG34" i="18"/>
  <c r="L2224" i="16"/>
  <c r="T2224" i="16" s="1"/>
  <c r="AA2224" i="16" s="1"/>
  <c r="AH2224" i="16" s="1"/>
  <c r="J259" i="4"/>
  <c r="J279" i="4" s="1"/>
  <c r="J577" i="4" s="1"/>
  <c r="J1064" i="16"/>
  <c r="K1064" i="16"/>
  <c r="L1061" i="16"/>
  <c r="T1061" i="16" s="1"/>
  <c r="AA1061" i="16" s="1"/>
  <c r="AH1061" i="16" s="1"/>
  <c r="L1062" i="16"/>
  <c r="T1062" i="16" s="1"/>
  <c r="AA1062" i="16" s="1"/>
  <c r="AH1062" i="16" s="1"/>
  <c r="AJ1062" i="16" s="1"/>
  <c r="J641" i="16"/>
  <c r="K1103" i="16"/>
  <c r="L1076" i="16"/>
  <c r="T1076" i="16" s="1"/>
  <c r="AA1076" i="16" s="1"/>
  <c r="AH1076" i="16" s="1"/>
  <c r="AJ1076" i="16" s="1"/>
  <c r="L1077" i="16"/>
  <c r="T1077" i="16" s="1"/>
  <c r="AA1077" i="16" s="1"/>
  <c r="AH1077" i="16" s="1"/>
  <c r="AJ1077" i="16" s="1"/>
  <c r="L1075" i="16"/>
  <c r="T1075" i="16" s="1"/>
  <c r="AA1075" i="16" s="1"/>
  <c r="AH1075" i="16" s="1"/>
  <c r="J1079" i="16"/>
  <c r="J1071" i="16"/>
  <c r="L918" i="16"/>
  <c r="T918" i="16" s="1"/>
  <c r="AA918" i="16" s="1"/>
  <c r="AH918" i="16" s="1"/>
  <c r="AJ918" i="16" s="1"/>
  <c r="L919" i="16"/>
  <c r="T919" i="16" s="1"/>
  <c r="AA919" i="16" s="1"/>
  <c r="AH919" i="16" s="1"/>
  <c r="AJ919" i="16" s="1"/>
  <c r="L909" i="16"/>
  <c r="T909" i="16" s="1"/>
  <c r="AA909" i="16" s="1"/>
  <c r="AH909" i="16" s="1"/>
  <c r="L910" i="16"/>
  <c r="T910" i="16" s="1"/>
  <c r="AA910" i="16" s="1"/>
  <c r="AH910" i="16" s="1"/>
  <c r="AJ910" i="16" s="1"/>
  <c r="L841" i="16"/>
  <c r="T841" i="16" s="1"/>
  <c r="AA841" i="16" s="1"/>
  <c r="AH841" i="16" s="1"/>
  <c r="AJ841" i="16" s="1"/>
  <c r="L637" i="16"/>
  <c r="T637" i="16" s="1"/>
  <c r="AA637" i="16" s="1"/>
  <c r="AH637" i="16" s="1"/>
  <c r="L638" i="16"/>
  <c r="T638" i="16" s="1"/>
  <c r="AA638" i="16" s="1"/>
  <c r="AH638" i="16" s="1"/>
  <c r="AJ638" i="16" s="1"/>
  <c r="K536" i="16"/>
  <c r="K556" i="16" s="1"/>
  <c r="J536" i="16"/>
  <c r="L531" i="16"/>
  <c r="T531" i="16" s="1"/>
  <c r="AA531" i="16" s="1"/>
  <c r="AH531" i="16" s="1"/>
  <c r="L532" i="16"/>
  <c r="T532" i="16" s="1"/>
  <c r="AA532" i="16" s="1"/>
  <c r="AH532" i="16" s="1"/>
  <c r="AJ532" i="16" s="1"/>
  <c r="L411" i="16"/>
  <c r="T411" i="16" s="1"/>
  <c r="AA411" i="16" s="1"/>
  <c r="AH411" i="16" s="1"/>
  <c r="J413" i="16"/>
  <c r="J343" i="16"/>
  <c r="L341" i="16"/>
  <c r="T341" i="16" s="1"/>
  <c r="AA341" i="16" s="1"/>
  <c r="AH341" i="16" s="1"/>
  <c r="L319" i="4"/>
  <c r="T319" i="4" s="1"/>
  <c r="AA319" i="4" s="1"/>
  <c r="AH319" i="4" s="1"/>
  <c r="L318" i="4"/>
  <c r="T318" i="4" s="1"/>
  <c r="AA318" i="4" s="1"/>
  <c r="AH318" i="4" s="1"/>
  <c r="L252" i="4"/>
  <c r="T252" i="4" s="1"/>
  <c r="AA252" i="4" s="1"/>
  <c r="AH252" i="4" s="1"/>
  <c r="K518" i="4"/>
  <c r="C34" i="18"/>
  <c r="C34" i="5" s="1"/>
  <c r="L444" i="4"/>
  <c r="T444" i="4" s="1"/>
  <c r="AA444" i="4" s="1"/>
  <c r="AH444" i="4" s="1"/>
  <c r="K402" i="4"/>
  <c r="D32" i="17" s="1"/>
  <c r="K408" i="4"/>
  <c r="J402" i="4"/>
  <c r="J324" i="4"/>
  <c r="L321" i="4"/>
  <c r="T321" i="4" s="1"/>
  <c r="AA321" i="4" s="1"/>
  <c r="AH321" i="4" s="1"/>
  <c r="L183" i="4"/>
  <c r="L165" i="4"/>
  <c r="J167" i="4"/>
  <c r="D12" i="17"/>
  <c r="J84" i="4"/>
  <c r="K84" i="4"/>
  <c r="J75" i="4"/>
  <c r="K75" i="4"/>
  <c r="J41" i="4"/>
  <c r="K41" i="4"/>
  <c r="J24" i="4"/>
  <c r="K24" i="4"/>
  <c r="K98" i="4"/>
  <c r="L88" i="4"/>
  <c r="T88" i="4" s="1"/>
  <c r="AA88" i="4" s="1"/>
  <c r="AH88" i="4" s="1"/>
  <c r="L89" i="4"/>
  <c r="L90" i="4"/>
  <c r="T90" i="4" s="1"/>
  <c r="AA90" i="4" s="1"/>
  <c r="AH90" i="4" s="1"/>
  <c r="L91" i="4"/>
  <c r="T91" i="4" s="1"/>
  <c r="AA91" i="4" s="1"/>
  <c r="L87" i="4"/>
  <c r="T87" i="4" s="1"/>
  <c r="AA87" i="4" s="1"/>
  <c r="AH87" i="4" s="1"/>
  <c r="J98" i="4"/>
  <c r="J15" i="4"/>
  <c r="J33" i="4"/>
  <c r="J48" i="4"/>
  <c r="J55" i="4"/>
  <c r="J65" i="4"/>
  <c r="K171" i="16"/>
  <c r="K2288" i="16" s="1"/>
  <c r="J88" i="16"/>
  <c r="K88" i="16"/>
  <c r="J171" i="16"/>
  <c r="J2288" i="16" s="1"/>
  <c r="J128" i="16"/>
  <c r="K128" i="16"/>
  <c r="L115" i="16"/>
  <c r="T115" i="16" s="1"/>
  <c r="AA115" i="16" s="1"/>
  <c r="AH115" i="16" s="1"/>
  <c r="L116" i="16"/>
  <c r="T116" i="16" s="1"/>
  <c r="AA116" i="16" s="1"/>
  <c r="AH116" i="16" s="1"/>
  <c r="L117" i="16"/>
  <c r="T117" i="16" s="1"/>
  <c r="AA117" i="16" s="1"/>
  <c r="AH117" i="16" s="1"/>
  <c r="L118" i="16"/>
  <c r="T118" i="16" s="1"/>
  <c r="AA118" i="16" s="1"/>
  <c r="AH118" i="16" s="1"/>
  <c r="L119" i="16"/>
  <c r="T119" i="16" s="1"/>
  <c r="AA119" i="16" s="1"/>
  <c r="AH119" i="16" s="1"/>
  <c r="L120" i="16"/>
  <c r="T120" i="16" s="1"/>
  <c r="AA120" i="16" s="1"/>
  <c r="AH120" i="16" s="1"/>
  <c r="L121" i="16"/>
  <c r="T121" i="16" s="1"/>
  <c r="AA121" i="16" s="1"/>
  <c r="AH121" i="16" s="1"/>
  <c r="L123" i="16"/>
  <c r="T123" i="16" s="1"/>
  <c r="AA123" i="16" s="1"/>
  <c r="AH123" i="16" s="1"/>
  <c r="L124" i="16"/>
  <c r="T124" i="16" s="1"/>
  <c r="L125" i="16"/>
  <c r="T125" i="16" s="1"/>
  <c r="AA125" i="16" s="1"/>
  <c r="AH125" i="16" s="1"/>
  <c r="L126" i="16"/>
  <c r="T126" i="16" s="1"/>
  <c r="L114" i="16"/>
  <c r="T114" i="16" s="1"/>
  <c r="AA114" i="16" s="1"/>
  <c r="AH114" i="16" s="1"/>
  <c r="L97" i="16"/>
  <c r="T97" i="16" s="1"/>
  <c r="AA97" i="16" s="1"/>
  <c r="J63" i="16"/>
  <c r="K63" i="16"/>
  <c r="L60" i="16"/>
  <c r="T60" i="16" s="1"/>
  <c r="AA60" i="16" s="1"/>
  <c r="AH60" i="16" s="1"/>
  <c r="J52" i="16"/>
  <c r="K52" i="16"/>
  <c r="J42" i="16"/>
  <c r="K42" i="16"/>
  <c r="J29" i="16"/>
  <c r="K29" i="16"/>
  <c r="L50" i="16"/>
  <c r="T50" i="16" s="1"/>
  <c r="AA50" i="16" s="1"/>
  <c r="AH50" i="16" s="1"/>
  <c r="L40" i="16"/>
  <c r="T40" i="16" s="1"/>
  <c r="AA40" i="16" s="1"/>
  <c r="AH40" i="16" s="1"/>
  <c r="K18" i="16"/>
  <c r="J18" i="16"/>
  <c r="K73" i="16"/>
  <c r="J73" i="16"/>
  <c r="K99" i="16"/>
  <c r="J99" i="16"/>
  <c r="K110" i="16"/>
  <c r="J110" i="16"/>
  <c r="K1528" i="16"/>
  <c r="J1528" i="16"/>
  <c r="L1526" i="16"/>
  <c r="T1526" i="16" s="1"/>
  <c r="AA1526" i="16" s="1"/>
  <c r="AH1526" i="16" s="1"/>
  <c r="AJ1526" i="16" s="1"/>
  <c r="L1524" i="16"/>
  <c r="T1524" i="16" s="1"/>
  <c r="AA1524" i="16" s="1"/>
  <c r="AH1524" i="16" s="1"/>
  <c r="K1520" i="16"/>
  <c r="J1520" i="16"/>
  <c r="L1518" i="16"/>
  <c r="T1518" i="16" s="1"/>
  <c r="AA1518" i="16" s="1"/>
  <c r="AH1518" i="16" s="1"/>
  <c r="L1516" i="16"/>
  <c r="T1516" i="16" s="1"/>
  <c r="AA1516" i="16" s="1"/>
  <c r="AH1516" i="16" s="1"/>
  <c r="K1512" i="16"/>
  <c r="J1512" i="16"/>
  <c r="L1510" i="16"/>
  <c r="T1510" i="16" s="1"/>
  <c r="AA1510" i="16" s="1"/>
  <c r="AH1510" i="16" s="1"/>
  <c r="AJ1510" i="16" s="1"/>
  <c r="L1508" i="16"/>
  <c r="T1508" i="16" s="1"/>
  <c r="AA1508" i="16" s="1"/>
  <c r="AH1508" i="16" s="1"/>
  <c r="K1504" i="16"/>
  <c r="J1504" i="16"/>
  <c r="L1501" i="16"/>
  <c r="T1501" i="16" s="1"/>
  <c r="AA1501" i="16" s="1"/>
  <c r="L1498" i="16"/>
  <c r="T1498" i="16" s="1"/>
  <c r="AA1498" i="16" s="1"/>
  <c r="AH1498" i="16" s="1"/>
  <c r="K1494" i="16"/>
  <c r="J1494" i="16"/>
  <c r="L1492" i="16"/>
  <c r="T1492" i="16" s="1"/>
  <c r="AA1492" i="16" s="1"/>
  <c r="AH1492" i="16" s="1"/>
  <c r="AJ1492" i="16" s="1"/>
  <c r="L1490" i="16"/>
  <c r="T1490" i="16" s="1"/>
  <c r="AA1490" i="16" s="1"/>
  <c r="AH1490" i="16" s="1"/>
  <c r="K1486" i="16"/>
  <c r="J1486" i="16"/>
  <c r="L1484" i="16"/>
  <c r="T1484" i="16" s="1"/>
  <c r="AA1484" i="16" s="1"/>
  <c r="AH1484" i="16" s="1"/>
  <c r="AJ1484" i="16" s="1"/>
  <c r="L1482" i="16"/>
  <c r="T1482" i="16" s="1"/>
  <c r="AA1482" i="16" s="1"/>
  <c r="AH1482" i="16" s="1"/>
  <c r="K1477" i="16"/>
  <c r="L1475" i="16"/>
  <c r="T1475" i="16" s="1"/>
  <c r="J1415" i="16"/>
  <c r="K1371" i="16"/>
  <c r="J1371" i="16"/>
  <c r="L1367" i="16"/>
  <c r="T1367" i="16" s="1"/>
  <c r="L1361" i="16"/>
  <c r="T1361" i="16" s="1"/>
  <c r="K1357" i="16"/>
  <c r="J1357" i="16"/>
  <c r="L1355" i="16"/>
  <c r="T1355" i="16" s="1"/>
  <c r="AA1355" i="16" s="1"/>
  <c r="AH1355" i="16" s="1"/>
  <c r="J291" i="4"/>
  <c r="AG46" i="18"/>
  <c r="L2243" i="16"/>
  <c r="T2243" i="16" s="1"/>
  <c r="C48" i="18"/>
  <c r="J565" i="4"/>
  <c r="L562" i="4"/>
  <c r="T562" i="4" s="1"/>
  <c r="AA562" i="4" s="1"/>
  <c r="C37" i="19"/>
  <c r="J396" i="16"/>
  <c r="J404" i="16" s="1"/>
  <c r="J508" i="4"/>
  <c r="D14" i="18"/>
  <c r="D14" i="5" s="1"/>
  <c r="C43" i="19"/>
  <c r="C43" i="5" s="1"/>
  <c r="L495" i="4"/>
  <c r="K495" i="4"/>
  <c r="L2242" i="16"/>
  <c r="T2242" i="16" s="1"/>
  <c r="K1471" i="16"/>
  <c r="L1469" i="16"/>
  <c r="T1469" i="16" s="1"/>
  <c r="AA1469" i="16" s="1"/>
  <c r="AH1469" i="16" s="1"/>
  <c r="K1465" i="16"/>
  <c r="L1463" i="16"/>
  <c r="T1463" i="16" s="1"/>
  <c r="AA1463" i="16" s="1"/>
  <c r="AH1463" i="16" s="1"/>
  <c r="K1459" i="16"/>
  <c r="L1457" i="16"/>
  <c r="T1457" i="16" s="1"/>
  <c r="L1314" i="16"/>
  <c r="T1314" i="16" s="1"/>
  <c r="AA1314" i="16" s="1"/>
  <c r="AH1314" i="16" s="1"/>
  <c r="K1316" i="16"/>
  <c r="J1316" i="16"/>
  <c r="L1255" i="16"/>
  <c r="T1255" i="16" s="1"/>
  <c r="AA1255" i="16" s="1"/>
  <c r="AH1255" i="16" s="1"/>
  <c r="AJ1255" i="16" s="1"/>
  <c r="J1051" i="16"/>
  <c r="J970" i="16"/>
  <c r="L967" i="16"/>
  <c r="T967" i="16" s="1"/>
  <c r="AA967" i="16" s="1"/>
  <c r="AH967" i="16" s="1"/>
  <c r="L820" i="16"/>
  <c r="T820" i="16" s="1"/>
  <c r="AA820" i="16" s="1"/>
  <c r="AH820" i="16" s="1"/>
  <c r="L821" i="16"/>
  <c r="T821" i="16" s="1"/>
  <c r="AA821" i="16" s="1"/>
  <c r="AH821" i="16" s="1"/>
  <c r="AJ821" i="16" s="1"/>
  <c r="J554" i="16"/>
  <c r="L552" i="16"/>
  <c r="J337" i="16"/>
  <c r="L335" i="16"/>
  <c r="T335" i="16" s="1"/>
  <c r="AA335" i="16" s="1"/>
  <c r="AH335" i="16" s="1"/>
  <c r="L160" i="16"/>
  <c r="T160" i="16" s="1"/>
  <c r="AA160" i="16" s="1"/>
  <c r="AH160" i="16" s="1"/>
  <c r="L82" i="16"/>
  <c r="T82" i="16" s="1"/>
  <c r="AA82" i="16" s="1"/>
  <c r="AH82" i="16" s="1"/>
  <c r="L80" i="16"/>
  <c r="T80" i="16" s="1"/>
  <c r="AA80" i="16" s="1"/>
  <c r="AH80" i="16" s="1"/>
  <c r="L78" i="16"/>
  <c r="T78" i="16" s="1"/>
  <c r="AA78" i="16" s="1"/>
  <c r="AH78" i="16" s="1"/>
  <c r="E14" i="18"/>
  <c r="E14" i="5" s="1"/>
  <c r="L37" i="4"/>
  <c r="T37" i="4" s="1"/>
  <c r="AA37" i="4" s="1"/>
  <c r="AH37" i="4" s="1"/>
  <c r="L232" i="4"/>
  <c r="T232" i="4" s="1"/>
  <c r="AA232" i="4" s="1"/>
  <c r="AH232" i="4" s="1"/>
  <c r="L231" i="4"/>
  <c r="T231" i="4" s="1"/>
  <c r="AA231" i="4" s="1"/>
  <c r="AH231" i="4" s="1"/>
  <c r="L230" i="4"/>
  <c r="T230" i="4" s="1"/>
  <c r="AA230" i="4" s="1"/>
  <c r="AH230" i="4" s="1"/>
  <c r="L229" i="4"/>
  <c r="T229" i="4" s="1"/>
  <c r="AA229" i="4" s="1"/>
  <c r="AH229" i="4" s="1"/>
  <c r="J146" i="4"/>
  <c r="L144" i="4"/>
  <c r="T144" i="4" s="1"/>
  <c r="AA144" i="4" s="1"/>
  <c r="AH144" i="4" s="1"/>
  <c r="L371" i="4"/>
  <c r="T371" i="4" s="1"/>
  <c r="AA371" i="4" s="1"/>
  <c r="AH371" i="4" s="1"/>
  <c r="J373" i="4"/>
  <c r="L335" i="4"/>
  <c r="T335" i="4" s="1"/>
  <c r="AA335" i="4" s="1"/>
  <c r="AH335" i="4" s="1"/>
  <c r="AG34" i="19"/>
  <c r="J548" i="16"/>
  <c r="L548" i="16" s="1"/>
  <c r="L546" i="16"/>
  <c r="T546" i="16" s="1"/>
  <c r="AA546" i="16" s="1"/>
  <c r="AH546" i="16" s="1"/>
  <c r="J331" i="16"/>
  <c r="L329" i="16"/>
  <c r="T329" i="16" s="1"/>
  <c r="AA329" i="16" s="1"/>
  <c r="AH329" i="16" s="1"/>
  <c r="L1246" i="16"/>
  <c r="T1246" i="16" s="1"/>
  <c r="AA1246" i="16" s="1"/>
  <c r="AH1246" i="16" s="1"/>
  <c r="L1069" i="16"/>
  <c r="T1069" i="16" s="1"/>
  <c r="AA1069" i="16" s="1"/>
  <c r="AH1069" i="16" s="1"/>
  <c r="J1057" i="16"/>
  <c r="L1055" i="16"/>
  <c r="T1055" i="16" s="1"/>
  <c r="AA1055" i="16" s="1"/>
  <c r="AH1055" i="16" s="1"/>
  <c r="J957" i="16"/>
  <c r="J855" i="16"/>
  <c r="J861" i="16" s="1"/>
  <c r="L853" i="16"/>
  <c r="T853" i="16" s="1"/>
  <c r="AA853" i="16" s="1"/>
  <c r="J674" i="16"/>
  <c r="L672" i="16"/>
  <c r="T672" i="16" s="1"/>
  <c r="K1441" i="16"/>
  <c r="L1439" i="16"/>
  <c r="T1439" i="16" s="1"/>
  <c r="L147" i="16"/>
  <c r="T147" i="16" s="1"/>
  <c r="AA147" i="16" s="1"/>
  <c r="AH147" i="16" s="1"/>
  <c r="L148" i="16"/>
  <c r="T148" i="16" s="1"/>
  <c r="AA148" i="16" s="1"/>
  <c r="AH148" i="16" s="1"/>
  <c r="J271" i="16"/>
  <c r="L269" i="16"/>
  <c r="T269" i="16" s="1"/>
  <c r="AA269" i="16" s="1"/>
  <c r="AH269" i="16" s="1"/>
  <c r="J210" i="16"/>
  <c r="J212" i="16" s="1"/>
  <c r="L208" i="16"/>
  <c r="T208" i="16" s="1"/>
  <c r="AA208" i="16" s="1"/>
  <c r="AH208" i="16" s="1"/>
  <c r="K2203" i="16"/>
  <c r="K2207" i="16" s="1"/>
  <c r="L512" i="4"/>
  <c r="K512" i="4"/>
  <c r="K487" i="4"/>
  <c r="D35" i="5" s="1"/>
  <c r="L462" i="4"/>
  <c r="L443" i="4"/>
  <c r="J440" i="4"/>
  <c r="J524" i="4" s="1"/>
  <c r="L413" i="4"/>
  <c r="L305" i="4"/>
  <c r="J307" i="4"/>
  <c r="L228" i="4"/>
  <c r="T228" i="4" s="1"/>
  <c r="AA228" i="4" s="1"/>
  <c r="AH228" i="4" s="1"/>
  <c r="J213" i="4"/>
  <c r="J207" i="4"/>
  <c r="L204" i="4"/>
  <c r="T204" i="4" s="1"/>
  <c r="AA204" i="4" s="1"/>
  <c r="AH204" i="4" s="1"/>
  <c r="L203" i="4"/>
  <c r="T203" i="4" s="1"/>
  <c r="AA203" i="4" s="1"/>
  <c r="AH203" i="4" s="1"/>
  <c r="L202" i="4"/>
  <c r="T202" i="4" s="1"/>
  <c r="AA202" i="4" s="1"/>
  <c r="AH202" i="4" s="1"/>
  <c r="L121" i="4"/>
  <c r="T121" i="4" s="1"/>
  <c r="AA121" i="4" s="1"/>
  <c r="AA129" i="4" s="1"/>
  <c r="D28" i="17"/>
  <c r="C28" i="17"/>
  <c r="L287" i="4"/>
  <c r="J152" i="4"/>
  <c r="L288" i="4"/>
  <c r="T288" i="4" s="1"/>
  <c r="AA288" i="4" s="1"/>
  <c r="AH288" i="4" s="1"/>
  <c r="L268" i="4"/>
  <c r="T268" i="4" s="1"/>
  <c r="AA268" i="4" s="1"/>
  <c r="AH268" i="4" s="1"/>
  <c r="L267" i="4"/>
  <c r="T267" i="4" s="1"/>
  <c r="AA267" i="4" s="1"/>
  <c r="AH267" i="4" s="1"/>
  <c r="L266" i="4"/>
  <c r="T266" i="4" s="1"/>
  <c r="AA266" i="4" s="1"/>
  <c r="AH266" i="4" s="1"/>
  <c r="L265" i="4"/>
  <c r="T265" i="4" s="1"/>
  <c r="AA265" i="4" s="1"/>
  <c r="AH265" i="4" s="1"/>
  <c r="L254" i="4"/>
  <c r="T254" i="4" s="1"/>
  <c r="AA254" i="4" s="1"/>
  <c r="AH254" i="4" s="1"/>
  <c r="L245" i="4"/>
  <c r="T245" i="4" s="1"/>
  <c r="AA245" i="4" s="1"/>
  <c r="L239" i="4"/>
  <c r="T239" i="4" s="1"/>
  <c r="AA239" i="4" s="1"/>
  <c r="AH239" i="4" s="1"/>
  <c r="L238" i="4"/>
  <c r="T238" i="4" s="1"/>
  <c r="AA238" i="4" s="1"/>
  <c r="AH238" i="4" s="1"/>
  <c r="L227" i="4"/>
  <c r="T227" i="4" s="1"/>
  <c r="AA227" i="4" s="1"/>
  <c r="AH227" i="4" s="1"/>
  <c r="L226" i="4"/>
  <c r="T226" i="4" s="1"/>
  <c r="AA226" i="4" s="1"/>
  <c r="AH226" i="4" s="1"/>
  <c r="L225" i="4"/>
  <c r="T225" i="4" s="1"/>
  <c r="AA225" i="4" s="1"/>
  <c r="AH225" i="4" s="1"/>
  <c r="L224" i="4"/>
  <c r="T224" i="4" s="1"/>
  <c r="AA224" i="4" s="1"/>
  <c r="AH224" i="4" s="1"/>
  <c r="L223" i="4"/>
  <c r="T223" i="4" s="1"/>
  <c r="AA223" i="4" s="1"/>
  <c r="AH223" i="4" s="1"/>
  <c r="L222" i="4"/>
  <c r="T222" i="4" s="1"/>
  <c r="AA222" i="4" s="1"/>
  <c r="AH222" i="4" s="1"/>
  <c r="L221" i="4"/>
  <c r="T221" i="4" s="1"/>
  <c r="AA221" i="4" s="1"/>
  <c r="AH221" i="4" s="1"/>
  <c r="L220" i="4"/>
  <c r="T220" i="4" s="1"/>
  <c r="AA220" i="4" s="1"/>
  <c r="AH220" i="4" s="1"/>
  <c r="L219" i="4"/>
  <c r="T219" i="4" s="1"/>
  <c r="AA219" i="4" s="1"/>
  <c r="AH219" i="4" s="1"/>
  <c r="L218" i="4"/>
  <c r="T218" i="4" s="1"/>
  <c r="AA218" i="4" s="1"/>
  <c r="AH218" i="4" s="1"/>
  <c r="L217" i="4"/>
  <c r="T217" i="4" s="1"/>
  <c r="AA217" i="4" s="1"/>
  <c r="AH217" i="4" s="1"/>
  <c r="L216" i="4"/>
  <c r="T216" i="4" s="1"/>
  <c r="AA216" i="4" s="1"/>
  <c r="AH216" i="4" s="1"/>
  <c r="L210" i="4"/>
  <c r="L201" i="4"/>
  <c r="T201" i="4" s="1"/>
  <c r="AA201" i="4" s="1"/>
  <c r="AH201" i="4" s="1"/>
  <c r="L195" i="4"/>
  <c r="L176" i="4"/>
  <c r="T176" i="4" s="1"/>
  <c r="AA176" i="4" s="1"/>
  <c r="AH176" i="4" s="1"/>
  <c r="L175" i="4"/>
  <c r="T175" i="4" s="1"/>
  <c r="AA175" i="4" s="1"/>
  <c r="AH175" i="4" s="1"/>
  <c r="L174" i="4"/>
  <c r="T174" i="4" s="1"/>
  <c r="AA174" i="4" s="1"/>
  <c r="AH174" i="4" s="1"/>
  <c r="L173" i="4"/>
  <c r="T173" i="4" s="1"/>
  <c r="AA173" i="4" s="1"/>
  <c r="AH173" i="4" s="1"/>
  <c r="L160" i="4"/>
  <c r="L155" i="4"/>
  <c r="L150" i="4"/>
  <c r="T150" i="4" s="1"/>
  <c r="AA150" i="4" s="1"/>
  <c r="AH150" i="4" s="1"/>
  <c r="L149" i="4"/>
  <c r="T149" i="4" s="1"/>
  <c r="AA149" i="4" s="1"/>
  <c r="AH149" i="4" s="1"/>
  <c r="AG31" i="18"/>
  <c r="D45" i="18"/>
  <c r="D45" i="5" s="1"/>
  <c r="J157" i="4"/>
  <c r="J650" i="16"/>
  <c r="L647" i="16"/>
  <c r="T647" i="16" s="1"/>
  <c r="AA647" i="16" s="1"/>
  <c r="AH647" i="16" s="1"/>
  <c r="AJ647" i="16" s="1"/>
  <c r="L646" i="16"/>
  <c r="T646" i="16" s="1"/>
  <c r="AA646" i="16" s="1"/>
  <c r="AH646" i="16" s="1"/>
  <c r="L629" i="16"/>
  <c r="T629" i="16" s="1"/>
  <c r="AA629" i="16" s="1"/>
  <c r="AH629" i="16" s="1"/>
  <c r="J622" i="16"/>
  <c r="L620" i="16"/>
  <c r="T620" i="16" s="1"/>
  <c r="AA620" i="16" s="1"/>
  <c r="AH620" i="16" s="1"/>
  <c r="L619" i="16"/>
  <c r="T619" i="16" s="1"/>
  <c r="AA619" i="16" s="1"/>
  <c r="AH619" i="16" s="1"/>
  <c r="L618" i="16"/>
  <c r="T618" i="16" s="1"/>
  <c r="AA618" i="16" s="1"/>
  <c r="AH618" i="16" s="1"/>
  <c r="J476" i="16"/>
  <c r="L474" i="16"/>
  <c r="T474" i="16" s="1"/>
  <c r="AA474" i="16" s="1"/>
  <c r="AH474" i="16" s="1"/>
  <c r="J431" i="16"/>
  <c r="L429" i="16"/>
  <c r="T429" i="16" s="1"/>
  <c r="AA429" i="16" s="1"/>
  <c r="AH429" i="16" s="1"/>
  <c r="J425" i="16"/>
  <c r="J131" i="4"/>
  <c r="C12" i="17" s="1"/>
  <c r="L362" i="4"/>
  <c r="T362" i="4" s="1"/>
  <c r="AA362" i="4" s="1"/>
  <c r="AH362" i="4" s="1"/>
  <c r="K271" i="4"/>
  <c r="K277" i="4" s="1"/>
  <c r="J249" i="4"/>
  <c r="J198" i="4"/>
  <c r="J180" i="4"/>
  <c r="J162" i="4"/>
  <c r="L143" i="4"/>
  <c r="T143" i="4" s="1"/>
  <c r="AA143" i="4" s="1"/>
  <c r="AH143" i="4" s="1"/>
  <c r="K542" i="4"/>
  <c r="L334" i="4"/>
  <c r="T334" i="4" s="1"/>
  <c r="AA334" i="4" s="1"/>
  <c r="AH334" i="4" s="1"/>
  <c r="J449" i="16"/>
  <c r="J451" i="16" s="1"/>
  <c r="L447" i="16"/>
  <c r="T447" i="16" s="1"/>
  <c r="AA447" i="16" s="1"/>
  <c r="AH447" i="16" s="1"/>
  <c r="L394" i="16"/>
  <c r="T394" i="16" s="1"/>
  <c r="AA394" i="16" s="1"/>
  <c r="AH394" i="16" s="1"/>
  <c r="J325" i="16"/>
  <c r="L323" i="16"/>
  <c r="T323" i="16" s="1"/>
  <c r="AA323" i="16" s="1"/>
  <c r="AH323" i="16" s="1"/>
  <c r="L555" i="4"/>
  <c r="T555" i="4" s="1"/>
  <c r="AA555" i="4" s="1"/>
  <c r="AH555" i="4" s="1"/>
  <c r="K552" i="4"/>
  <c r="L550" i="4"/>
  <c r="K538" i="4"/>
  <c r="L535" i="4"/>
  <c r="L534" i="4"/>
  <c r="T534" i="4" s="1"/>
  <c r="AA534" i="4" s="1"/>
  <c r="AH534" i="4" s="1"/>
  <c r="J501" i="4"/>
  <c r="L501" i="4"/>
  <c r="J365" i="4"/>
  <c r="L333" i="4"/>
  <c r="J337" i="4"/>
  <c r="L12" i="16"/>
  <c r="T12" i="16" s="1"/>
  <c r="AA12" i="16" s="1"/>
  <c r="AH12" i="16" s="1"/>
  <c r="L13" i="16"/>
  <c r="T13" i="16" s="1"/>
  <c r="AA13" i="16" s="1"/>
  <c r="AH13" i="16" s="1"/>
  <c r="L14" i="16"/>
  <c r="T14" i="16" s="1"/>
  <c r="AA14" i="16" s="1"/>
  <c r="AH14" i="16" s="1"/>
  <c r="L16" i="16"/>
  <c r="T16" i="16" s="1"/>
  <c r="AA16" i="16" s="1"/>
  <c r="AH16" i="16" s="1"/>
  <c r="L22" i="16"/>
  <c r="T22" i="16" s="1"/>
  <c r="AA22" i="16" s="1"/>
  <c r="AH22" i="16" s="1"/>
  <c r="L23" i="16"/>
  <c r="T23" i="16" s="1"/>
  <c r="AA23" i="16" s="1"/>
  <c r="AH23" i="16" s="1"/>
  <c r="L24" i="16"/>
  <c r="T24" i="16" s="1"/>
  <c r="AA24" i="16" s="1"/>
  <c r="AH24" i="16" s="1"/>
  <c r="L26" i="16"/>
  <c r="T26" i="16" s="1"/>
  <c r="AA26" i="16" s="1"/>
  <c r="AH26" i="16" s="1"/>
  <c r="L27" i="16"/>
  <c r="T27" i="16" s="1"/>
  <c r="AA27" i="16" s="1"/>
  <c r="AH27" i="16" s="1"/>
  <c r="L33" i="16"/>
  <c r="T33" i="16" s="1"/>
  <c r="AA33" i="16" s="1"/>
  <c r="AH33" i="16" s="1"/>
  <c r="L34" i="16"/>
  <c r="T34" i="16" s="1"/>
  <c r="AA34" i="16" s="1"/>
  <c r="AH34" i="16" s="1"/>
  <c r="L35" i="16"/>
  <c r="T35" i="16" s="1"/>
  <c r="AA35" i="16" s="1"/>
  <c r="AH35" i="16" s="1"/>
  <c r="L36" i="16"/>
  <c r="T36" i="16" s="1"/>
  <c r="AA36" i="16" s="1"/>
  <c r="AH36" i="16" s="1"/>
  <c r="L39" i="16"/>
  <c r="T39" i="16" s="1"/>
  <c r="AA39" i="16" s="1"/>
  <c r="AH39" i="16" s="1"/>
  <c r="L46" i="16"/>
  <c r="T46" i="16" s="1"/>
  <c r="AA46" i="16" s="1"/>
  <c r="AH46" i="16" s="1"/>
  <c r="L47" i="16"/>
  <c r="T47" i="16" s="1"/>
  <c r="AA47" i="16" s="1"/>
  <c r="AH47" i="16" s="1"/>
  <c r="L48" i="16"/>
  <c r="T48" i="16" s="1"/>
  <c r="AA48" i="16" s="1"/>
  <c r="AH48" i="16" s="1"/>
  <c r="L56" i="16"/>
  <c r="T56" i="16" s="1"/>
  <c r="AA56" i="16" s="1"/>
  <c r="AH56" i="16" s="1"/>
  <c r="L57" i="16"/>
  <c r="T57" i="16" s="1"/>
  <c r="AA57" i="16" s="1"/>
  <c r="AH57" i="16" s="1"/>
  <c r="L58" i="16"/>
  <c r="T58" i="16" s="1"/>
  <c r="AA58" i="16" s="1"/>
  <c r="AH58" i="16" s="1"/>
  <c r="L67" i="16"/>
  <c r="T67" i="16" s="1"/>
  <c r="AA67" i="16" s="1"/>
  <c r="AH67" i="16" s="1"/>
  <c r="L68" i="16"/>
  <c r="T68" i="16" s="1"/>
  <c r="AA68" i="16" s="1"/>
  <c r="AH68" i="16" s="1"/>
  <c r="L69" i="16"/>
  <c r="T69" i="16" s="1"/>
  <c r="AA69" i="16" s="1"/>
  <c r="AH69" i="16" s="1"/>
  <c r="L71" i="16"/>
  <c r="T71" i="16" s="1"/>
  <c r="AA71" i="16" s="1"/>
  <c r="AH71" i="16" s="1"/>
  <c r="L77" i="16"/>
  <c r="T77" i="16" s="1"/>
  <c r="AA77" i="16" s="1"/>
  <c r="AH77" i="16" s="1"/>
  <c r="L79" i="16"/>
  <c r="T79" i="16" s="1"/>
  <c r="AA79" i="16" s="1"/>
  <c r="AH79" i="16" s="1"/>
  <c r="L81" i="16"/>
  <c r="T81" i="16" s="1"/>
  <c r="AA81" i="16" s="1"/>
  <c r="AH81" i="16" s="1"/>
  <c r="L85" i="16"/>
  <c r="T85" i="16" s="1"/>
  <c r="AA85" i="16" s="1"/>
  <c r="AH85" i="16" s="1"/>
  <c r="L92" i="16"/>
  <c r="T92" i="16" s="1"/>
  <c r="AA92" i="16" s="1"/>
  <c r="L93" i="16"/>
  <c r="T93" i="16" s="1"/>
  <c r="AA93" i="16" s="1"/>
  <c r="L94" i="16"/>
  <c r="T94" i="16" s="1"/>
  <c r="AA94" i="16" s="1"/>
  <c r="L96" i="16"/>
  <c r="T96" i="16" s="1"/>
  <c r="AA96" i="16" s="1"/>
  <c r="L107" i="16"/>
  <c r="T107" i="16" s="1"/>
  <c r="AA107" i="16" s="1"/>
  <c r="AH107" i="16" s="1"/>
  <c r="L104" i="16"/>
  <c r="T104" i="16" s="1"/>
  <c r="AA104" i="16" s="1"/>
  <c r="AH104" i="16" s="1"/>
  <c r="L105" i="16"/>
  <c r="T105" i="16" s="1"/>
  <c r="AA105" i="16" s="1"/>
  <c r="AH105" i="16" s="1"/>
  <c r="L165" i="16"/>
  <c r="T165" i="16" s="1"/>
  <c r="AA165" i="16" s="1"/>
  <c r="AH165" i="16" s="1"/>
  <c r="C9" i="18"/>
  <c r="C9" i="5" s="1"/>
  <c r="C13" i="19"/>
  <c r="L113" i="4"/>
  <c r="T113" i="4" s="1"/>
  <c r="AA113" i="4" s="1"/>
  <c r="AH113" i="4" s="1"/>
  <c r="L19" i="4"/>
  <c r="T19" i="4" s="1"/>
  <c r="L20" i="4"/>
  <c r="T20" i="4" s="1"/>
  <c r="AA20" i="4" s="1"/>
  <c r="AH20" i="4" s="1"/>
  <c r="L21" i="4"/>
  <c r="T21" i="4" s="1"/>
  <c r="AA21" i="4" s="1"/>
  <c r="AH21" i="4" s="1"/>
  <c r="AA16" i="5" s="1"/>
  <c r="L80" i="4"/>
  <c r="T80" i="4" s="1"/>
  <c r="AA80" i="4" s="1"/>
  <c r="AH80" i="4" s="1"/>
  <c r="L70" i="4"/>
  <c r="T70" i="4" s="1"/>
  <c r="AA70" i="4" s="1"/>
  <c r="AH70" i="4" s="1"/>
  <c r="L60" i="4"/>
  <c r="T60" i="4" s="1"/>
  <c r="AA60" i="4" s="1"/>
  <c r="AH60" i="4" s="1"/>
  <c r="L52" i="4"/>
  <c r="T52" i="4" s="1"/>
  <c r="AA52" i="4" s="1"/>
  <c r="AH52" i="4" s="1"/>
  <c r="L45" i="4"/>
  <c r="T45" i="4" s="1"/>
  <c r="AA45" i="4" s="1"/>
  <c r="AH45" i="4" s="1"/>
  <c r="L38" i="4"/>
  <c r="T38" i="4" s="1"/>
  <c r="AA38" i="4" s="1"/>
  <c r="AH38" i="4" s="1"/>
  <c r="L28" i="4"/>
  <c r="T28" i="4" s="1"/>
  <c r="AA28" i="4" s="1"/>
  <c r="AH28" i="4" s="1"/>
  <c r="L11" i="4"/>
  <c r="T11" i="4" s="1"/>
  <c r="AA11" i="4" s="1"/>
  <c r="AH11" i="4" s="1"/>
  <c r="C40" i="17"/>
  <c r="C40" i="5" s="1"/>
  <c r="D40" i="17"/>
  <c r="D40" i="5" s="1"/>
  <c r="E40" i="17"/>
  <c r="E40" i="5" s="1"/>
  <c r="E52" i="17"/>
  <c r="D52" i="17"/>
  <c r="J302" i="4"/>
  <c r="J297" i="4"/>
  <c r="L370" i="4"/>
  <c r="T370" i="4" s="1"/>
  <c r="AA370" i="4" s="1"/>
  <c r="AH370" i="4" s="1"/>
  <c r="L369" i="4"/>
  <c r="T369" i="4" s="1"/>
  <c r="AA369" i="4" s="1"/>
  <c r="AH369" i="4" s="1"/>
  <c r="L368" i="4"/>
  <c r="L361" i="4"/>
  <c r="T361" i="4" s="1"/>
  <c r="AA361" i="4" s="1"/>
  <c r="AH361" i="4" s="1"/>
  <c r="L360" i="4"/>
  <c r="T360" i="4" s="1"/>
  <c r="AA360" i="4" s="1"/>
  <c r="AH360" i="4" s="1"/>
  <c r="L359" i="4"/>
  <c r="L328" i="4"/>
  <c r="T328" i="4" s="1"/>
  <c r="AA328" i="4" s="1"/>
  <c r="AH328" i="4" s="1"/>
  <c r="L327" i="4"/>
  <c r="L320" i="4"/>
  <c r="T320" i="4" s="1"/>
  <c r="AA320" i="4" s="1"/>
  <c r="AH320" i="4" s="1"/>
  <c r="L317" i="4"/>
  <c r="T317" i="4" s="1"/>
  <c r="AA317" i="4" s="1"/>
  <c r="AH317" i="4" s="1"/>
  <c r="L316" i="4"/>
  <c r="T316" i="4" s="1"/>
  <c r="AA316" i="4" s="1"/>
  <c r="AH316" i="4" s="1"/>
  <c r="L315" i="4"/>
  <c r="T315" i="4" s="1"/>
  <c r="AA315" i="4" s="1"/>
  <c r="AH315" i="4" s="1"/>
  <c r="L314" i="4"/>
  <c r="T314" i="4" s="1"/>
  <c r="AA314" i="4" s="1"/>
  <c r="AH314" i="4" s="1"/>
  <c r="L313" i="4"/>
  <c r="L300" i="4"/>
  <c r="L295" i="4"/>
  <c r="K1327" i="16"/>
  <c r="J1327" i="16"/>
  <c r="L1320" i="16"/>
  <c r="T1320" i="16" s="1"/>
  <c r="AA1320" i="16" s="1"/>
  <c r="AH1320" i="16" s="1"/>
  <c r="L1321" i="16"/>
  <c r="T1321" i="16" s="1"/>
  <c r="AA1321" i="16" s="1"/>
  <c r="AH1321" i="16" s="1"/>
  <c r="AJ1321" i="16" s="1"/>
  <c r="L161" i="16"/>
  <c r="T161" i="16" s="1"/>
  <c r="AA161" i="16" s="1"/>
  <c r="AH161" i="16" s="1"/>
  <c r="L158" i="16"/>
  <c r="T158" i="16" s="1"/>
  <c r="AA158" i="16" s="1"/>
  <c r="AH158" i="16" s="1"/>
  <c r="L155" i="16"/>
  <c r="T155" i="16" s="1"/>
  <c r="AA155" i="16" s="1"/>
  <c r="AH155" i="16" s="1"/>
  <c r="L1049" i="16"/>
  <c r="T1049" i="16" s="1"/>
  <c r="AA1049" i="16" s="1"/>
  <c r="AH1049" i="16" s="1"/>
  <c r="J927" i="16"/>
  <c r="J887" i="16"/>
  <c r="L885" i="16"/>
  <c r="T885" i="16" s="1"/>
  <c r="AA885" i="16" s="1"/>
  <c r="AH885" i="16" s="1"/>
  <c r="J711" i="16"/>
  <c r="K150" i="16"/>
  <c r="J150" i="16"/>
  <c r="K139" i="16"/>
  <c r="J139" i="16"/>
  <c r="J330" i="4"/>
  <c r="K1453" i="16"/>
  <c r="L1451" i="16"/>
  <c r="T1451" i="16" s="1"/>
  <c r="AA1451" i="16" s="1"/>
  <c r="AH1451" i="16" s="1"/>
  <c r="L933" i="16"/>
  <c r="T933" i="16" s="1"/>
  <c r="AA933" i="16" s="1"/>
  <c r="AH933" i="16" s="1"/>
  <c r="AJ933" i="16" s="1"/>
  <c r="L932" i="16"/>
  <c r="T932" i="16" s="1"/>
  <c r="AA932" i="16" s="1"/>
  <c r="AH932" i="16" s="1"/>
  <c r="AJ932" i="16" s="1"/>
  <c r="L917" i="16"/>
  <c r="T917" i="16" s="1"/>
  <c r="AA917" i="16" s="1"/>
  <c r="AH917" i="16" s="1"/>
  <c r="L911" i="16"/>
  <c r="T911" i="16" s="1"/>
  <c r="AA911" i="16" s="1"/>
  <c r="AH911" i="16" s="1"/>
  <c r="AJ911" i="16" s="1"/>
  <c r="L903" i="16"/>
  <c r="T903" i="16" s="1"/>
  <c r="AA903" i="16" s="1"/>
  <c r="AH903" i="16" s="1"/>
  <c r="L867" i="16"/>
  <c r="T867" i="16" s="1"/>
  <c r="AA867" i="16" s="1"/>
  <c r="AH867" i="16" s="1"/>
  <c r="J869" i="16"/>
  <c r="J849" i="16"/>
  <c r="L847" i="16"/>
  <c r="T847" i="16" s="1"/>
  <c r="AA847" i="16" s="1"/>
  <c r="AH847" i="16" s="1"/>
  <c r="J829" i="16"/>
  <c r="L705" i="16"/>
  <c r="T705" i="16" s="1"/>
  <c r="AA705" i="16" s="1"/>
  <c r="AH705" i="16" s="1"/>
  <c r="AJ705" i="16" s="1"/>
  <c r="L706" i="16"/>
  <c r="T706" i="16" s="1"/>
  <c r="AA706" i="16" s="1"/>
  <c r="AH706" i="16" s="1"/>
  <c r="AJ706" i="16" s="1"/>
  <c r="L707" i="16"/>
  <c r="T707" i="16" s="1"/>
  <c r="AA707" i="16" s="1"/>
  <c r="AH707" i="16" s="1"/>
  <c r="AJ707" i="16" s="1"/>
  <c r="L708" i="16"/>
  <c r="T708" i="16" s="1"/>
  <c r="AA708" i="16" s="1"/>
  <c r="AH708" i="16" s="1"/>
  <c r="AJ708" i="16" s="1"/>
  <c r="L703" i="16"/>
  <c r="T703" i="16" s="1"/>
  <c r="AA703" i="16" s="1"/>
  <c r="AH703" i="16" s="1"/>
  <c r="L704" i="16"/>
  <c r="T704" i="16" s="1"/>
  <c r="AA704" i="16" s="1"/>
  <c r="AH704" i="16" s="1"/>
  <c r="AJ704" i="16" s="1"/>
  <c r="L696" i="16"/>
  <c r="T696" i="16" s="1"/>
  <c r="AA696" i="16" s="1"/>
  <c r="AH696" i="16" s="1"/>
  <c r="AJ696" i="16" s="1"/>
  <c r="L695" i="16"/>
  <c r="T695" i="16" s="1"/>
  <c r="AA695" i="16" s="1"/>
  <c r="AH695" i="16" s="1"/>
  <c r="L688" i="16"/>
  <c r="T688" i="16" s="1"/>
  <c r="AA688" i="16" s="1"/>
  <c r="AH688" i="16" s="1"/>
  <c r="AJ688" i="16" s="1"/>
  <c r="L664" i="16"/>
  <c r="T664" i="16" s="1"/>
  <c r="AA664" i="16" s="1"/>
  <c r="AH664" i="16" s="1"/>
  <c r="AJ664" i="16" s="1"/>
  <c r="L663" i="16"/>
  <c r="T663" i="16" s="1"/>
  <c r="AA663" i="16" s="1"/>
  <c r="AH663" i="16" s="1"/>
  <c r="J666" i="16"/>
  <c r="L656" i="16"/>
  <c r="T656" i="16" s="1"/>
  <c r="AA656" i="16" s="1"/>
  <c r="AH656" i="16" s="1"/>
  <c r="AJ656" i="16" s="1"/>
  <c r="L655" i="16"/>
  <c r="T655" i="16" s="1"/>
  <c r="AA655" i="16" s="1"/>
  <c r="AH655" i="16" s="1"/>
  <c r="L654" i="16"/>
  <c r="T654" i="16" s="1"/>
  <c r="AA654" i="16" s="1"/>
  <c r="AH654" i="16" s="1"/>
  <c r="L1293" i="16"/>
  <c r="T1293" i="16" s="1"/>
  <c r="AA1293" i="16" s="1"/>
  <c r="AH1293" i="16" s="1"/>
  <c r="L579" i="16"/>
  <c r="T579" i="16" s="1"/>
  <c r="AA579" i="16" s="1"/>
  <c r="AH579" i="16" s="1"/>
  <c r="J470" i="16"/>
  <c r="L468" i="16"/>
  <c r="T468" i="16" s="1"/>
  <c r="AA468" i="16" s="1"/>
  <c r="AH468" i="16" s="1"/>
  <c r="L421" i="16"/>
  <c r="T421" i="16" s="1"/>
  <c r="AA421" i="16" s="1"/>
  <c r="AH421" i="16" s="1"/>
  <c r="AJ421" i="16" s="1"/>
  <c r="L420" i="16"/>
  <c r="T420" i="16" s="1"/>
  <c r="AA420" i="16" s="1"/>
  <c r="AH420" i="16" s="1"/>
  <c r="L317" i="16"/>
  <c r="T317" i="16" s="1"/>
  <c r="AA317" i="16" s="1"/>
  <c r="AH317" i="16" s="1"/>
  <c r="J319" i="16"/>
  <c r="L316" i="16"/>
  <c r="T316" i="16" s="1"/>
  <c r="AA316" i="16" s="1"/>
  <c r="AH316" i="16" s="1"/>
  <c r="L281" i="16"/>
  <c r="T281" i="16" s="1"/>
  <c r="AA281" i="16" s="1"/>
  <c r="AH281" i="16" s="1"/>
  <c r="J194" i="16"/>
  <c r="L145" i="16"/>
  <c r="T145" i="16" s="1"/>
  <c r="AA145" i="16" s="1"/>
  <c r="AH145" i="16" s="1"/>
  <c r="L134" i="16"/>
  <c r="L157" i="16"/>
  <c r="T157" i="16" s="1"/>
  <c r="AA157" i="16" s="1"/>
  <c r="AH157" i="16" s="1"/>
  <c r="L154" i="16"/>
  <c r="T154" i="16" s="1"/>
  <c r="AA154" i="16" s="1"/>
  <c r="AH154" i="16" s="1"/>
  <c r="L144" i="16"/>
  <c r="T144" i="16" s="1"/>
  <c r="AA144" i="16" s="1"/>
  <c r="AH144" i="16" s="1"/>
  <c r="L143" i="16"/>
  <c r="T143" i="16" s="1"/>
  <c r="AA143" i="16" s="1"/>
  <c r="AH143" i="16" s="1"/>
  <c r="L136" i="16"/>
  <c r="T136" i="16" s="1"/>
  <c r="AA136" i="16" s="1"/>
  <c r="AH136" i="16" s="1"/>
  <c r="L69" i="4"/>
  <c r="T69" i="4" s="1"/>
  <c r="AA69" i="4" s="1"/>
  <c r="L103" i="16"/>
  <c r="T103" i="16" s="1"/>
  <c r="AA103" i="16" s="1"/>
  <c r="AH103" i="16" s="1"/>
  <c r="L112" i="4"/>
  <c r="T112" i="4" s="1"/>
  <c r="AA112" i="4" s="1"/>
  <c r="AH112" i="4" s="1"/>
  <c r="L79" i="4"/>
  <c r="T79" i="4" s="1"/>
  <c r="AA79" i="4" s="1"/>
  <c r="AH79" i="4" s="1"/>
  <c r="L78" i="4"/>
  <c r="T78" i="4" s="1"/>
  <c r="AA78" i="4" s="1"/>
  <c r="AH78" i="4" s="1"/>
  <c r="L68" i="4"/>
  <c r="T68" i="4" s="1"/>
  <c r="AA68" i="4" s="1"/>
  <c r="AH68" i="4" s="1"/>
  <c r="E12" i="5"/>
  <c r="L132" i="16"/>
  <c r="T132" i="16" s="1"/>
  <c r="AA132" i="16" s="1"/>
  <c r="AH132" i="16" s="1"/>
  <c r="L133" i="16"/>
  <c r="T133" i="16" s="1"/>
  <c r="AA133" i="16" s="1"/>
  <c r="AH133" i="16" s="1"/>
  <c r="L101" i="4"/>
  <c r="T101" i="4" s="1"/>
  <c r="AA101" i="4" s="1"/>
  <c r="AH101" i="4" s="1"/>
  <c r="J521" i="16"/>
  <c r="J542" i="16"/>
  <c r="J485" i="16"/>
  <c r="J491" i="16"/>
  <c r="J497" i="16"/>
  <c r="J503" i="16"/>
  <c r="J509" i="16"/>
  <c r="J515" i="16"/>
  <c r="J527" i="16"/>
  <c r="L527" i="16" s="1"/>
  <c r="J1045" i="16"/>
  <c r="J875" i="16"/>
  <c r="J881" i="16"/>
  <c r="J893" i="16"/>
  <c r="J899" i="16"/>
  <c r="J905" i="16"/>
  <c r="J913" i="16"/>
  <c r="J921" i="16"/>
  <c r="J935" i="16"/>
  <c r="J943" i="16"/>
  <c r="J951" i="16"/>
  <c r="J963" i="16"/>
  <c r="J976" i="16"/>
  <c r="J982" i="16"/>
  <c r="J988" i="16"/>
  <c r="J994" i="16"/>
  <c r="J1000" i="16"/>
  <c r="J1006" i="16"/>
  <c r="J1013" i="16"/>
  <c r="J1019" i="16"/>
  <c r="J1025" i="16"/>
  <c r="J1031" i="16"/>
  <c r="J1037" i="16"/>
  <c r="J836" i="16"/>
  <c r="J843" i="16"/>
  <c r="J682" i="16"/>
  <c r="J691" i="16"/>
  <c r="J699" i="16"/>
  <c r="J717" i="16"/>
  <c r="J823" i="16"/>
  <c r="J575" i="16"/>
  <c r="J584" i="16"/>
  <c r="J592" i="16"/>
  <c r="J600" i="16"/>
  <c r="J608" i="16"/>
  <c r="J614" i="16"/>
  <c r="J458" i="16"/>
  <c r="J464" i="16"/>
  <c r="J381" i="16"/>
  <c r="J387" i="16"/>
  <c r="J360" i="16"/>
  <c r="J366" i="16"/>
  <c r="J372" i="16"/>
  <c r="J294" i="16"/>
  <c r="J300" i="16"/>
  <c r="J306" i="16"/>
  <c r="J312" i="16"/>
  <c r="J265" i="16"/>
  <c r="J277" i="16"/>
  <c r="J285" i="16"/>
  <c r="J258" i="16"/>
  <c r="J219" i="16"/>
  <c r="J225" i="16"/>
  <c r="J231" i="16"/>
  <c r="J237" i="16"/>
  <c r="J243" i="16"/>
  <c r="J249" i="16"/>
  <c r="J186" i="16"/>
  <c r="L519" i="16"/>
  <c r="T519" i="16" s="1"/>
  <c r="AA519" i="16" s="1"/>
  <c r="AH519" i="16" s="1"/>
  <c r="L540" i="16"/>
  <c r="L485" i="16"/>
  <c r="L489" i="16"/>
  <c r="T489" i="16" s="1"/>
  <c r="AA489" i="16" s="1"/>
  <c r="AH489" i="16" s="1"/>
  <c r="L495" i="16"/>
  <c r="T495" i="16" s="1"/>
  <c r="AA495" i="16" s="1"/>
  <c r="AH495" i="16" s="1"/>
  <c r="L501" i="16"/>
  <c r="T501" i="16" s="1"/>
  <c r="AA501" i="16" s="1"/>
  <c r="AH501" i="16" s="1"/>
  <c r="L507" i="16"/>
  <c r="T507" i="16" s="1"/>
  <c r="AA507" i="16" s="1"/>
  <c r="AH507" i="16" s="1"/>
  <c r="L513" i="16"/>
  <c r="T513" i="16" s="1"/>
  <c r="AA513" i="16" s="1"/>
  <c r="AH513" i="16" s="1"/>
  <c r="L525" i="16"/>
  <c r="T525" i="16" s="1"/>
  <c r="AA525" i="16" s="1"/>
  <c r="AH525" i="16" s="1"/>
  <c r="L1043" i="16"/>
  <c r="T1043" i="16" s="1"/>
  <c r="AA1043" i="16" s="1"/>
  <c r="AH1043" i="16" s="1"/>
  <c r="L873" i="16"/>
  <c r="T873" i="16" s="1"/>
  <c r="AA873" i="16" s="1"/>
  <c r="AH873" i="16" s="1"/>
  <c r="L879" i="16"/>
  <c r="T879" i="16" s="1"/>
  <c r="AA879" i="16" s="1"/>
  <c r="AH879" i="16" s="1"/>
  <c r="L891" i="16"/>
  <c r="T891" i="16" s="1"/>
  <c r="AA891" i="16" s="1"/>
  <c r="AH891" i="16" s="1"/>
  <c r="L897" i="16"/>
  <c r="T897" i="16" s="1"/>
  <c r="AA897" i="16" s="1"/>
  <c r="AH897" i="16" s="1"/>
  <c r="L925" i="16"/>
  <c r="T925" i="16" s="1"/>
  <c r="AA925" i="16" s="1"/>
  <c r="AH925" i="16" s="1"/>
  <c r="L931" i="16"/>
  <c r="T931" i="16" s="1"/>
  <c r="AA931" i="16" s="1"/>
  <c r="AH931" i="16" s="1"/>
  <c r="L940" i="16"/>
  <c r="T940" i="16" s="1"/>
  <c r="AA940" i="16" s="1"/>
  <c r="AH940" i="16" s="1"/>
  <c r="L949" i="16"/>
  <c r="T949" i="16" s="1"/>
  <c r="AA949" i="16" s="1"/>
  <c r="AH949" i="16" s="1"/>
  <c r="L955" i="16"/>
  <c r="T955" i="16" s="1"/>
  <c r="AA955" i="16" s="1"/>
  <c r="AH955" i="16" s="1"/>
  <c r="L961" i="16"/>
  <c r="T961" i="16" s="1"/>
  <c r="AA961" i="16" s="1"/>
  <c r="AH961" i="16" s="1"/>
  <c r="L968" i="16"/>
  <c r="T968" i="16" s="1"/>
  <c r="AA968" i="16" s="1"/>
  <c r="AH968" i="16" s="1"/>
  <c r="AJ968" i="16" s="1"/>
  <c r="L974" i="16"/>
  <c r="T974" i="16" s="1"/>
  <c r="AA974" i="16" s="1"/>
  <c r="AH974" i="16" s="1"/>
  <c r="L980" i="16"/>
  <c r="T980" i="16" s="1"/>
  <c r="AA980" i="16" s="1"/>
  <c r="AH980" i="16" s="1"/>
  <c r="L986" i="16"/>
  <c r="T986" i="16" s="1"/>
  <c r="AA986" i="16" s="1"/>
  <c r="AH986" i="16" s="1"/>
  <c r="L992" i="16"/>
  <c r="T992" i="16" s="1"/>
  <c r="AA992" i="16" s="1"/>
  <c r="AH992" i="16" s="1"/>
  <c r="L998" i="16"/>
  <c r="T998" i="16" s="1"/>
  <c r="AA998" i="16" s="1"/>
  <c r="AH998" i="16" s="1"/>
  <c r="L1004" i="16"/>
  <c r="T1004" i="16" s="1"/>
  <c r="AA1004" i="16" s="1"/>
  <c r="AH1004" i="16" s="1"/>
  <c r="L1011" i="16"/>
  <c r="T1011" i="16" s="1"/>
  <c r="AA1011" i="16" s="1"/>
  <c r="AH1011" i="16" s="1"/>
  <c r="L1017" i="16"/>
  <c r="T1017" i="16" s="1"/>
  <c r="AA1017" i="16" s="1"/>
  <c r="AH1017" i="16" s="1"/>
  <c r="L1023" i="16"/>
  <c r="T1023" i="16" s="1"/>
  <c r="AA1023" i="16" s="1"/>
  <c r="AH1023" i="16" s="1"/>
  <c r="L1029" i="16"/>
  <c r="T1029" i="16" s="1"/>
  <c r="AA1029" i="16" s="1"/>
  <c r="AH1029" i="16" s="1"/>
  <c r="L1035" i="16"/>
  <c r="T1035" i="16" s="1"/>
  <c r="AA1035" i="16" s="1"/>
  <c r="AH1035" i="16" s="1"/>
  <c r="L834" i="16"/>
  <c r="T834" i="16" s="1"/>
  <c r="AA834" i="16" s="1"/>
  <c r="AH834" i="16" s="1"/>
  <c r="L840" i="16"/>
  <c r="T840" i="16" s="1"/>
  <c r="AA840" i="16" s="1"/>
  <c r="AH840" i="16" s="1"/>
  <c r="L827" i="16"/>
  <c r="T827" i="16" s="1"/>
  <c r="AA827" i="16" s="1"/>
  <c r="AH827" i="16" s="1"/>
  <c r="L639" i="16"/>
  <c r="T639" i="16" s="1"/>
  <c r="AA639" i="16" s="1"/>
  <c r="AH639" i="16" s="1"/>
  <c r="AJ639" i="16" s="1"/>
  <c r="L648" i="16"/>
  <c r="T648" i="16" s="1"/>
  <c r="AA648" i="16" s="1"/>
  <c r="AH648" i="16" s="1"/>
  <c r="AJ648" i="16" s="1"/>
  <c r="L680" i="16"/>
  <c r="T680" i="16" s="1"/>
  <c r="AA680" i="16" s="1"/>
  <c r="L686" i="16"/>
  <c r="T686" i="16" s="1"/>
  <c r="AA686" i="16" s="1"/>
  <c r="AH686" i="16" s="1"/>
  <c r="L687" i="16"/>
  <c r="T687" i="16" s="1"/>
  <c r="AA687" i="16" s="1"/>
  <c r="AH687" i="16" s="1"/>
  <c r="AJ687" i="16" s="1"/>
  <c r="L697" i="16"/>
  <c r="T697" i="16" s="1"/>
  <c r="AA697" i="16" s="1"/>
  <c r="AH697" i="16" s="1"/>
  <c r="AJ697" i="16" s="1"/>
  <c r="L715" i="16"/>
  <c r="T715" i="16" s="1"/>
  <c r="AA715" i="16" s="1"/>
  <c r="AH715" i="16" s="1"/>
  <c r="L722" i="16"/>
  <c r="T722" i="16" s="1"/>
  <c r="AA722" i="16" s="1"/>
  <c r="AH722" i="16" s="1"/>
  <c r="L573" i="16"/>
  <c r="T573" i="16" s="1"/>
  <c r="AA573" i="16" s="1"/>
  <c r="AH573" i="16" s="1"/>
  <c r="L580" i="16"/>
  <c r="T580" i="16" s="1"/>
  <c r="AA580" i="16" s="1"/>
  <c r="AH580" i="16" s="1"/>
  <c r="AJ580" i="16" s="1"/>
  <c r="L581" i="16"/>
  <c r="T581" i="16" s="1"/>
  <c r="AA581" i="16" s="1"/>
  <c r="AH581" i="16" s="1"/>
  <c r="AJ581" i="16" s="1"/>
  <c r="L588" i="16"/>
  <c r="T588" i="16" s="1"/>
  <c r="AA588" i="16" s="1"/>
  <c r="AH588" i="16" s="1"/>
  <c r="L589" i="16"/>
  <c r="T589" i="16" s="1"/>
  <c r="AA589" i="16" s="1"/>
  <c r="AH589" i="16" s="1"/>
  <c r="AJ589" i="16" s="1"/>
  <c r="L590" i="16"/>
  <c r="T590" i="16" s="1"/>
  <c r="AA590" i="16" s="1"/>
  <c r="AH590" i="16" s="1"/>
  <c r="AJ590" i="16" s="1"/>
  <c r="L596" i="16"/>
  <c r="T596" i="16" s="1"/>
  <c r="AA596" i="16" s="1"/>
  <c r="AH596" i="16" s="1"/>
  <c r="L597" i="16"/>
  <c r="T597" i="16" s="1"/>
  <c r="AA597" i="16" s="1"/>
  <c r="AH597" i="16" s="1"/>
  <c r="AJ597" i="16" s="1"/>
  <c r="L598" i="16"/>
  <c r="T598" i="16" s="1"/>
  <c r="AA598" i="16" s="1"/>
  <c r="AH598" i="16" s="1"/>
  <c r="AJ598" i="16" s="1"/>
  <c r="L604" i="16"/>
  <c r="T604" i="16" s="1"/>
  <c r="AA604" i="16" s="1"/>
  <c r="AH604" i="16" s="1"/>
  <c r="L605" i="16"/>
  <c r="T605" i="16" s="1"/>
  <c r="AA605" i="16" s="1"/>
  <c r="AH605" i="16" s="1"/>
  <c r="AJ605" i="16" s="1"/>
  <c r="L606" i="16"/>
  <c r="T606" i="16" s="1"/>
  <c r="AA606" i="16" s="1"/>
  <c r="AH606" i="16" s="1"/>
  <c r="AJ606" i="16" s="1"/>
  <c r="L612" i="16"/>
  <c r="T612" i="16" s="1"/>
  <c r="AA612" i="16" s="1"/>
  <c r="AH612" i="16" s="1"/>
  <c r="L564" i="16"/>
  <c r="L456" i="16"/>
  <c r="T456" i="16" s="1"/>
  <c r="AA456" i="16" s="1"/>
  <c r="AH456" i="16" s="1"/>
  <c r="L462" i="16"/>
  <c r="T462" i="16" s="1"/>
  <c r="AA462" i="16" s="1"/>
  <c r="AH462" i="16" s="1"/>
  <c r="L422" i="16"/>
  <c r="T422" i="16" s="1"/>
  <c r="AA422" i="16" s="1"/>
  <c r="AH422" i="16" s="1"/>
  <c r="AJ422" i="16" s="1"/>
  <c r="L379" i="16"/>
  <c r="T379" i="16" s="1"/>
  <c r="AA379" i="16" s="1"/>
  <c r="AH379" i="16" s="1"/>
  <c r="L385" i="16"/>
  <c r="T385" i="16" s="1"/>
  <c r="AA385" i="16" s="1"/>
  <c r="L358" i="16"/>
  <c r="T358" i="16" s="1"/>
  <c r="AA358" i="16" s="1"/>
  <c r="AH358" i="16" s="1"/>
  <c r="L364" i="16"/>
  <c r="T364" i="16" s="1"/>
  <c r="AA364" i="16" s="1"/>
  <c r="AH364" i="16" s="1"/>
  <c r="L370" i="16"/>
  <c r="T370" i="16" s="1"/>
  <c r="AA370" i="16" s="1"/>
  <c r="AH370" i="16" s="1"/>
  <c r="L292" i="16"/>
  <c r="T292" i="16" s="1"/>
  <c r="AA292" i="16" s="1"/>
  <c r="AH292" i="16" s="1"/>
  <c r="L298" i="16"/>
  <c r="T298" i="16" s="1"/>
  <c r="AA298" i="16" s="1"/>
  <c r="AH298" i="16" s="1"/>
  <c r="L304" i="16"/>
  <c r="T304" i="16" s="1"/>
  <c r="AA304" i="16" s="1"/>
  <c r="L310" i="16"/>
  <c r="T310" i="16" s="1"/>
  <c r="AA310" i="16" s="1"/>
  <c r="AH310" i="16" s="1"/>
  <c r="L263" i="16"/>
  <c r="T263" i="16" s="1"/>
  <c r="AA263" i="16" s="1"/>
  <c r="AH263" i="16" s="1"/>
  <c r="L275" i="16"/>
  <c r="T275" i="16" s="1"/>
  <c r="AA275" i="16" s="1"/>
  <c r="AH275" i="16" s="1"/>
  <c r="L282" i="16"/>
  <c r="T282" i="16" s="1"/>
  <c r="AA282" i="16" s="1"/>
  <c r="AH282" i="16" s="1"/>
  <c r="AJ282" i="16" s="1"/>
  <c r="L283" i="16"/>
  <c r="T283" i="16" s="1"/>
  <c r="AA283" i="16" s="1"/>
  <c r="AH283" i="16" s="1"/>
  <c r="AJ283" i="16" s="1"/>
  <c r="L256" i="16"/>
  <c r="T256" i="16" s="1"/>
  <c r="AA256" i="16" s="1"/>
  <c r="AH256" i="16" s="1"/>
  <c r="L217" i="16"/>
  <c r="T217" i="16" s="1"/>
  <c r="AA217" i="16" s="1"/>
  <c r="AH217" i="16" s="1"/>
  <c r="L223" i="16"/>
  <c r="T223" i="16" s="1"/>
  <c r="AA223" i="16" s="1"/>
  <c r="AH223" i="16" s="1"/>
  <c r="L229" i="16"/>
  <c r="T229" i="16" s="1"/>
  <c r="AA229" i="16" s="1"/>
  <c r="AH229" i="16" s="1"/>
  <c r="L235" i="16"/>
  <c r="T235" i="16" s="1"/>
  <c r="AA235" i="16" s="1"/>
  <c r="AH235" i="16" s="1"/>
  <c r="L241" i="16"/>
  <c r="T241" i="16" s="1"/>
  <c r="AA241" i="16" s="1"/>
  <c r="AH241" i="16" s="1"/>
  <c r="L247" i="16"/>
  <c r="T247" i="16" s="1"/>
  <c r="AA247" i="16" s="1"/>
  <c r="AH247" i="16" s="1"/>
  <c r="L184" i="16"/>
  <c r="T184" i="16" s="1"/>
  <c r="AA184" i="16" s="1"/>
  <c r="AH184" i="16" s="1"/>
  <c r="L192" i="16"/>
  <c r="T192" i="16" s="1"/>
  <c r="AA192" i="16" s="1"/>
  <c r="AH192" i="16" s="1"/>
  <c r="J1333" i="16"/>
  <c r="J1339" i="16"/>
  <c r="J1351" i="16"/>
  <c r="J1310" i="16"/>
  <c r="J1298" i="16"/>
  <c r="J1258" i="16"/>
  <c r="J1268" i="16"/>
  <c r="J1274" i="16"/>
  <c r="J1281" i="16"/>
  <c r="J1287" i="16"/>
  <c r="K1345" i="16"/>
  <c r="K1298" i="16"/>
  <c r="K1268" i="16"/>
  <c r="K1258" i="16"/>
  <c r="L1322" i="16"/>
  <c r="T1322" i="16" s="1"/>
  <c r="AA1322" i="16" s="1"/>
  <c r="AH1322" i="16" s="1"/>
  <c r="AJ1322" i="16" s="1"/>
  <c r="L1324" i="16"/>
  <c r="T1324" i="16" s="1"/>
  <c r="AA1324" i="16" s="1"/>
  <c r="AH1324" i="16" s="1"/>
  <c r="AJ1324" i="16" s="1"/>
  <c r="L1325" i="16"/>
  <c r="T1325" i="16" s="1"/>
  <c r="AA1325" i="16" s="1"/>
  <c r="AH1325" i="16" s="1"/>
  <c r="AJ1325" i="16" s="1"/>
  <c r="L1331" i="16"/>
  <c r="T1331" i="16" s="1"/>
  <c r="AA1331" i="16" s="1"/>
  <c r="AH1331" i="16" s="1"/>
  <c r="L1337" i="16"/>
  <c r="T1337" i="16" s="1"/>
  <c r="AA1337" i="16" s="1"/>
  <c r="AH1337" i="16" s="1"/>
  <c r="L1343" i="16"/>
  <c r="T1343" i="16" s="1"/>
  <c r="L1349" i="16"/>
  <c r="T1349" i="16" s="1"/>
  <c r="AA1349" i="16" s="1"/>
  <c r="AH1349" i="16" s="1"/>
  <c r="L1308" i="16"/>
  <c r="T1308" i="16" s="1"/>
  <c r="AA1308" i="16" s="1"/>
  <c r="AH1308" i="16" s="1"/>
  <c r="L1302" i="16"/>
  <c r="T1302" i="16" s="1"/>
  <c r="AA1302" i="16" s="1"/>
  <c r="AH1302" i="16" s="1"/>
  <c r="L1295" i="16"/>
  <c r="T1295" i="16" s="1"/>
  <c r="AA1295" i="16" s="1"/>
  <c r="AH1295" i="16" s="1"/>
  <c r="AJ1295" i="16" s="1"/>
  <c r="L1279" i="16"/>
  <c r="T1279" i="16" s="1"/>
  <c r="AA1279" i="16" s="1"/>
  <c r="AH1279" i="16" s="1"/>
  <c r="L1272" i="16"/>
  <c r="T1272" i="16" s="1"/>
  <c r="AA1272" i="16" s="1"/>
  <c r="AH1272" i="16" s="1"/>
  <c r="L1262" i="16"/>
  <c r="T1262" i="16" s="1"/>
  <c r="AA1262" i="16" s="1"/>
  <c r="AH1262" i="16" s="1"/>
  <c r="L1265" i="16"/>
  <c r="T1265" i="16" s="1"/>
  <c r="AA1265" i="16" s="1"/>
  <c r="AH1265" i="16" s="1"/>
  <c r="AJ1265" i="16" s="1"/>
  <c r="L1266" i="16"/>
  <c r="T1266" i="16" s="1"/>
  <c r="AA1266" i="16" s="1"/>
  <c r="AH1266" i="16" s="1"/>
  <c r="AJ1266" i="16" s="1"/>
  <c r="L1253" i="16"/>
  <c r="T1253" i="16" s="1"/>
  <c r="AA1253" i="16" s="1"/>
  <c r="AH1253" i="16" s="1"/>
  <c r="L1256" i="16"/>
  <c r="T1256" i="16" s="1"/>
  <c r="AA1256" i="16" s="1"/>
  <c r="AH1256" i="16" s="1"/>
  <c r="AJ1256" i="16" s="1"/>
  <c r="L1285" i="16"/>
  <c r="T1285" i="16" s="1"/>
  <c r="AA1285" i="16" s="1"/>
  <c r="AH1285" i="16" s="1"/>
  <c r="K1415" i="16"/>
  <c r="K1429" i="16"/>
  <c r="K1447" i="16"/>
  <c r="L1427" i="16"/>
  <c r="T1427" i="16" s="1"/>
  <c r="AA1427" i="16" s="1"/>
  <c r="AH1427" i="16" s="1"/>
  <c r="L1445" i="16"/>
  <c r="T1445" i="16" s="1"/>
  <c r="K2065" i="16"/>
  <c r="L2063" i="16"/>
  <c r="T2063" i="16" s="1"/>
  <c r="AA2063" i="16" s="1"/>
  <c r="AH2063" i="16" s="1"/>
  <c r="K2187" i="16"/>
  <c r="K2193" i="16"/>
  <c r="L2185" i="16"/>
  <c r="T2185" i="16" s="1"/>
  <c r="L2191" i="16"/>
  <c r="T2191" i="16" s="1"/>
  <c r="AA2191" i="16" s="1"/>
  <c r="AH2191" i="16" s="1"/>
  <c r="L2211" i="16"/>
  <c r="T2211" i="16" s="1"/>
  <c r="AA2211" i="16" s="1"/>
  <c r="AH2211" i="16" s="1"/>
  <c r="L2212" i="16"/>
  <c r="T2212" i="16" s="1"/>
  <c r="AA2212" i="16" s="1"/>
  <c r="AH2212" i="16" s="1"/>
  <c r="L2213" i="16"/>
  <c r="T2213" i="16" s="1"/>
  <c r="AA2213" i="16" s="1"/>
  <c r="AH2213" i="16" s="1"/>
  <c r="L2214" i="16"/>
  <c r="T2214" i="16" s="1"/>
  <c r="AA2214" i="16" s="1"/>
  <c r="AH2214" i="16" s="1"/>
  <c r="L2215" i="16"/>
  <c r="T2215" i="16" s="1"/>
  <c r="AA2215" i="16" s="1"/>
  <c r="AH2215" i="16" s="1"/>
  <c r="L2216" i="16"/>
  <c r="T2216" i="16" s="1"/>
  <c r="AA2216" i="16" s="1"/>
  <c r="AH2216" i="16" s="1"/>
  <c r="L2217" i="16"/>
  <c r="T2217" i="16" s="1"/>
  <c r="AA2217" i="16" s="1"/>
  <c r="AH2217" i="16" s="1"/>
  <c r="L2218" i="16"/>
  <c r="T2218" i="16" s="1"/>
  <c r="AA2218" i="16" s="1"/>
  <c r="AH2218" i="16" s="1"/>
  <c r="L2220" i="16"/>
  <c r="T2220" i="16" s="1"/>
  <c r="AA2220" i="16" s="1"/>
  <c r="AH2220" i="16" s="1"/>
  <c r="L2221" i="16"/>
  <c r="T2221" i="16" s="1"/>
  <c r="AA2221" i="16" s="1"/>
  <c r="AH2221" i="16" s="1"/>
  <c r="L2225" i="16"/>
  <c r="T2225" i="16" s="1"/>
  <c r="AA2225" i="16" s="1"/>
  <c r="AH2225" i="16" s="1"/>
  <c r="L2226" i="16"/>
  <c r="T2226" i="16" s="1"/>
  <c r="AA2226" i="16" s="1"/>
  <c r="AH2226" i="16" s="1"/>
  <c r="L2219" i="16"/>
  <c r="T2219" i="16" s="1"/>
  <c r="AA2219" i="16" s="1"/>
  <c r="AH2219" i="16" s="1"/>
  <c r="L2223" i="16"/>
  <c r="T2223" i="16" s="1"/>
  <c r="AA2223" i="16" s="1"/>
  <c r="AH2223" i="16" s="1"/>
  <c r="J169" i="16"/>
  <c r="K169" i="16"/>
  <c r="L10" i="4"/>
  <c r="T10" i="4" s="1"/>
  <c r="AA10" i="4" s="1"/>
  <c r="AH10" i="4" s="1"/>
  <c r="L18" i="4"/>
  <c r="T18" i="4" s="1"/>
  <c r="AA18" i="4" s="1"/>
  <c r="AH18" i="4" s="1"/>
  <c r="L27" i="4"/>
  <c r="T27" i="4" s="1"/>
  <c r="AA27" i="4" s="1"/>
  <c r="AH27" i="4" s="1"/>
  <c r="AH33" i="4" s="1"/>
  <c r="L36" i="4"/>
  <c r="T36" i="4" s="1"/>
  <c r="AA36" i="4" s="1"/>
  <c r="AH36" i="4" s="1"/>
  <c r="L44" i="4"/>
  <c r="T44" i="4" s="1"/>
  <c r="AA44" i="4" s="1"/>
  <c r="AH44" i="4" s="1"/>
  <c r="L51" i="4"/>
  <c r="T51" i="4" s="1"/>
  <c r="AA51" i="4" s="1"/>
  <c r="AH51" i="4" s="1"/>
  <c r="AH55" i="4" s="1"/>
  <c r="L58" i="4"/>
  <c r="T58" i="4" s="1"/>
  <c r="AA58" i="4" s="1"/>
  <c r="AH58" i="4" s="1"/>
  <c r="AH65" i="4" s="1"/>
  <c r="J109" i="4"/>
  <c r="K109" i="4"/>
  <c r="J129" i="4"/>
  <c r="J118" i="4"/>
  <c r="C52" i="17"/>
  <c r="E28" i="17"/>
  <c r="D42" i="19"/>
  <c r="J1248" i="16"/>
  <c r="AH2065" i="16" l="1"/>
  <c r="AJ2065" i="16" s="1"/>
  <c r="AJ2063" i="16"/>
  <c r="AH2193" i="16"/>
  <c r="AH2205" i="16"/>
  <c r="AH2236" i="16"/>
  <c r="AJ1855" i="16"/>
  <c r="AH1857" i="16"/>
  <c r="AJ1857" i="16" s="1"/>
  <c r="AH2238" i="16"/>
  <c r="AJ1734" i="16"/>
  <c r="AH1501" i="16"/>
  <c r="AJ1501" i="16" s="1"/>
  <c r="AH1298" i="16"/>
  <c r="AJ1298" i="16" s="1"/>
  <c r="AH110" i="16"/>
  <c r="AH88" i="16"/>
  <c r="AJ834" i="16"/>
  <c r="AH836" i="16"/>
  <c r="AJ1017" i="16"/>
  <c r="AH1019" i="16"/>
  <c r="AJ1019" i="16" s="1"/>
  <c r="AJ992" i="16"/>
  <c r="AH994" i="16"/>
  <c r="AJ994" i="16" s="1"/>
  <c r="AJ940" i="16"/>
  <c r="AH943" i="16"/>
  <c r="AJ943" i="16" s="1"/>
  <c r="AJ891" i="16"/>
  <c r="AH893" i="16"/>
  <c r="AJ893" i="16" s="1"/>
  <c r="AJ525" i="16"/>
  <c r="AH527" i="16"/>
  <c r="AJ527" i="16" s="1"/>
  <c r="AJ495" i="16"/>
  <c r="AH497" i="16"/>
  <c r="AJ497" i="16" s="1"/>
  <c r="AJ519" i="16"/>
  <c r="AH521" i="16"/>
  <c r="AJ521" i="16" s="1"/>
  <c r="AJ468" i="16"/>
  <c r="AH470" i="16"/>
  <c r="AJ470" i="16" s="1"/>
  <c r="AH659" i="16"/>
  <c r="AJ659" i="16" s="1"/>
  <c r="AJ663" i="16"/>
  <c r="AH666" i="16"/>
  <c r="AJ666" i="16" s="1"/>
  <c r="AJ847" i="16"/>
  <c r="AH849" i="16"/>
  <c r="AJ849" i="16" s="1"/>
  <c r="AJ903" i="16"/>
  <c r="AH905" i="16"/>
  <c r="AJ905" i="16" s="1"/>
  <c r="AJ1049" i="16"/>
  <c r="AH1051" i="16"/>
  <c r="AJ1051" i="16" s="1"/>
  <c r="AJ323" i="16"/>
  <c r="AH325" i="16"/>
  <c r="AJ325" i="16" s="1"/>
  <c r="AJ429" i="16"/>
  <c r="AH431" i="16"/>
  <c r="AJ431" i="16" s="1"/>
  <c r="AH622" i="16"/>
  <c r="AJ629" i="16"/>
  <c r="AH631" i="16"/>
  <c r="AJ631" i="16" s="1"/>
  <c r="AJ208" i="16"/>
  <c r="AH210" i="16"/>
  <c r="AJ1246" i="16"/>
  <c r="AH1248" i="16"/>
  <c r="AJ1248" i="16" s="1"/>
  <c r="AJ1463" i="16"/>
  <c r="AH1465" i="16"/>
  <c r="AJ1465" i="16" s="1"/>
  <c r="AJ1482" i="16"/>
  <c r="AH1486" i="16"/>
  <c r="AJ1486" i="16" s="1"/>
  <c r="AJ1490" i="16"/>
  <c r="AH1494" i="16"/>
  <c r="AJ1494" i="16" s="1"/>
  <c r="AJ1498" i="16"/>
  <c r="AJ1508" i="16"/>
  <c r="AH1512" i="16"/>
  <c r="AJ1512" i="16" s="1"/>
  <c r="AJ1516" i="16"/>
  <c r="AH1520" i="16"/>
  <c r="AJ1520" i="16" s="1"/>
  <c r="AJ1524" i="16"/>
  <c r="AH1528" i="16"/>
  <c r="AJ1528" i="16" s="1"/>
  <c r="AJ411" i="16"/>
  <c r="AH413" i="16"/>
  <c r="AJ413" i="16" s="1"/>
  <c r="AJ1061" i="16"/>
  <c r="AH1064" i="16"/>
  <c r="AJ1064" i="16" s="1"/>
  <c r="AJ1758" i="16"/>
  <c r="AH1761" i="16"/>
  <c r="AH2038" i="16" s="1"/>
  <c r="AJ2038" i="16" s="1"/>
  <c r="AJ1262" i="16"/>
  <c r="AH1268" i="16"/>
  <c r="AJ1268" i="16" s="1"/>
  <c r="AJ229" i="16"/>
  <c r="AH231" i="16"/>
  <c r="AJ231" i="16" s="1"/>
  <c r="AJ370" i="16"/>
  <c r="AH372" i="16"/>
  <c r="AJ372" i="16" s="1"/>
  <c r="AJ604" i="16"/>
  <c r="AH608" i="16"/>
  <c r="AJ608" i="16" s="1"/>
  <c r="AJ1253" i="16"/>
  <c r="AH1258" i="16"/>
  <c r="AJ1258" i="16" s="1"/>
  <c r="AJ1308" i="16"/>
  <c r="AH1310" i="16"/>
  <c r="AJ1310" i="16" s="1"/>
  <c r="AJ1331" i="16"/>
  <c r="AH1333" i="16"/>
  <c r="AJ1333" i="16" s="1"/>
  <c r="AJ223" i="16"/>
  <c r="AH225" i="16"/>
  <c r="AJ225" i="16" s="1"/>
  <c r="AA306" i="16"/>
  <c r="AH304" i="16"/>
  <c r="AJ364" i="16"/>
  <c r="AH366" i="16"/>
  <c r="AJ366" i="16" s="1"/>
  <c r="AJ612" i="16"/>
  <c r="AH614" i="16"/>
  <c r="AJ614" i="16" s="1"/>
  <c r="AJ573" i="16"/>
  <c r="AH575" i="16"/>
  <c r="AJ1035" i="16"/>
  <c r="AH1037" i="16"/>
  <c r="AJ1037" i="16" s="1"/>
  <c r="AJ1011" i="16"/>
  <c r="AH1013" i="16"/>
  <c r="AJ1013" i="16" s="1"/>
  <c r="AJ986" i="16"/>
  <c r="AH988" i="16"/>
  <c r="AJ988" i="16" s="1"/>
  <c r="AJ961" i="16"/>
  <c r="AH963" i="16"/>
  <c r="AJ963" i="16" s="1"/>
  <c r="AJ931" i="16"/>
  <c r="AH935" i="16"/>
  <c r="AJ935" i="16" s="1"/>
  <c r="AJ879" i="16"/>
  <c r="AH881" i="16"/>
  <c r="AJ881" i="16" s="1"/>
  <c r="AJ513" i="16"/>
  <c r="AH515" i="16"/>
  <c r="AJ515" i="16" s="1"/>
  <c r="AJ489" i="16"/>
  <c r="AH491" i="16"/>
  <c r="AJ491" i="16" s="1"/>
  <c r="AJ1451" i="16"/>
  <c r="AH1453" i="16"/>
  <c r="AJ1453" i="16" s="1"/>
  <c r="AJ885" i="16"/>
  <c r="AH887" i="16"/>
  <c r="AJ887" i="16" s="1"/>
  <c r="AJ1320" i="16"/>
  <c r="AH1327" i="16"/>
  <c r="AJ1327" i="16" s="1"/>
  <c r="AJ646" i="16"/>
  <c r="AH650" i="16"/>
  <c r="AJ1055" i="16"/>
  <c r="AH1057" i="16"/>
  <c r="AJ1057" i="16" s="1"/>
  <c r="AJ329" i="16"/>
  <c r="AH331" i="16"/>
  <c r="AJ331" i="16" s="1"/>
  <c r="AJ335" i="16"/>
  <c r="AH337" i="16"/>
  <c r="AJ337" i="16" s="1"/>
  <c r="AJ1314" i="16"/>
  <c r="AH1316" i="16"/>
  <c r="AJ1316" i="16" s="1"/>
  <c r="AJ341" i="16"/>
  <c r="AH343" i="16"/>
  <c r="AJ343" i="16" s="1"/>
  <c r="AJ909" i="16"/>
  <c r="AH913" i="16"/>
  <c r="AJ913" i="16" s="1"/>
  <c r="AJ1302" i="16"/>
  <c r="AH1304" i="16"/>
  <c r="AJ1304" i="16" s="1"/>
  <c r="AJ1337" i="16"/>
  <c r="AH1339" i="16"/>
  <c r="AJ1339" i="16" s="1"/>
  <c r="AJ184" i="16"/>
  <c r="AH186" i="16"/>
  <c r="AJ186" i="16" s="1"/>
  <c r="AJ310" i="16"/>
  <c r="AH312" i="16"/>
  <c r="AJ312" i="16" s="1"/>
  <c r="AJ1272" i="16"/>
  <c r="AH1274" i="16"/>
  <c r="AJ1274" i="16" s="1"/>
  <c r="AJ247" i="16"/>
  <c r="AH249" i="16"/>
  <c r="AJ249" i="16" s="1"/>
  <c r="AJ1279" i="16"/>
  <c r="AH1281" i="16"/>
  <c r="AJ1281" i="16" s="1"/>
  <c r="AJ1349" i="16"/>
  <c r="AH1351" i="16"/>
  <c r="AJ1351" i="16" s="1"/>
  <c r="AJ241" i="16"/>
  <c r="AH243" i="16"/>
  <c r="AJ243" i="16" s="1"/>
  <c r="AJ217" i="16"/>
  <c r="AH219" i="16"/>
  <c r="AJ219" i="16" s="1"/>
  <c r="AJ275" i="16"/>
  <c r="AH277" i="16"/>
  <c r="AJ277" i="16" s="1"/>
  <c r="AJ298" i="16"/>
  <c r="AH300" i="16"/>
  <c r="AJ300" i="16" s="1"/>
  <c r="AJ358" i="16"/>
  <c r="AH360" i="16"/>
  <c r="AJ360" i="16" s="1"/>
  <c r="AJ462" i="16"/>
  <c r="AH464" i="16"/>
  <c r="AJ464" i="16" s="1"/>
  <c r="AJ588" i="16"/>
  <c r="AH592" i="16"/>
  <c r="AJ592" i="16" s="1"/>
  <c r="AJ722" i="16"/>
  <c r="AH724" i="16"/>
  <c r="AJ686" i="16"/>
  <c r="AH691" i="16"/>
  <c r="AJ691" i="16" s="1"/>
  <c r="AJ827" i="16"/>
  <c r="AH829" i="16"/>
  <c r="AJ829" i="16" s="1"/>
  <c r="AJ1029" i="16"/>
  <c r="AH1031" i="16"/>
  <c r="AJ1031" i="16" s="1"/>
  <c r="AJ1004" i="16"/>
  <c r="AH1006" i="16"/>
  <c r="AJ1006" i="16" s="1"/>
  <c r="AJ980" i="16"/>
  <c r="AH982" i="16"/>
  <c r="AJ982" i="16" s="1"/>
  <c r="AJ955" i="16"/>
  <c r="AH957" i="16"/>
  <c r="AJ957" i="16" s="1"/>
  <c r="AJ925" i="16"/>
  <c r="AH927" i="16"/>
  <c r="AJ927" i="16" s="1"/>
  <c r="AJ873" i="16"/>
  <c r="AH875" i="16"/>
  <c r="AJ875" i="16" s="1"/>
  <c r="AJ507" i="16"/>
  <c r="AH509" i="16"/>
  <c r="AJ509" i="16" s="1"/>
  <c r="AJ579" i="16"/>
  <c r="AH584" i="16"/>
  <c r="AJ584" i="16" s="1"/>
  <c r="AJ703" i="16"/>
  <c r="AH711" i="16"/>
  <c r="AJ711" i="16" s="1"/>
  <c r="AJ917" i="16"/>
  <c r="AH921" i="16"/>
  <c r="AJ921" i="16" s="1"/>
  <c r="AJ394" i="16"/>
  <c r="AH396" i="16"/>
  <c r="AJ474" i="16"/>
  <c r="AH476" i="16"/>
  <c r="AJ476" i="16" s="1"/>
  <c r="AJ269" i="16"/>
  <c r="AH271" i="16"/>
  <c r="AJ271" i="16" s="1"/>
  <c r="AA855" i="16"/>
  <c r="AH853" i="16"/>
  <c r="AJ820" i="16"/>
  <c r="AH823" i="16"/>
  <c r="AJ823" i="16" s="1"/>
  <c r="AJ1469" i="16"/>
  <c r="AH1471" i="16"/>
  <c r="AJ1471" i="16" s="1"/>
  <c r="AJ1355" i="16"/>
  <c r="AH1405" i="16"/>
  <c r="AH1357" i="16"/>
  <c r="AJ1357" i="16" s="1"/>
  <c r="AJ637" i="16"/>
  <c r="AH641" i="16"/>
  <c r="AJ641" i="16" s="1"/>
  <c r="AJ1075" i="16"/>
  <c r="AH1079" i="16"/>
  <c r="AJ1746" i="16"/>
  <c r="AH1748" i="16"/>
  <c r="AJ379" i="16"/>
  <c r="AH381" i="16"/>
  <c r="AJ381" i="16" s="1"/>
  <c r="AJ1427" i="16"/>
  <c r="AH1429" i="16"/>
  <c r="AJ1429" i="16" s="1"/>
  <c r="AJ1285" i="16"/>
  <c r="AH1287" i="16"/>
  <c r="AJ1287" i="16" s="1"/>
  <c r="AJ235" i="16"/>
  <c r="AH237" i="16"/>
  <c r="AJ237" i="16" s="1"/>
  <c r="AJ256" i="16"/>
  <c r="AH258" i="16"/>
  <c r="AJ258" i="16" s="1"/>
  <c r="AJ263" i="16"/>
  <c r="AH265" i="16"/>
  <c r="AJ265" i="16" s="1"/>
  <c r="AJ292" i="16"/>
  <c r="AH294" i="16"/>
  <c r="AJ294" i="16" s="1"/>
  <c r="AA387" i="16"/>
  <c r="AH385" i="16"/>
  <c r="AH387" i="16" s="1"/>
  <c r="AJ456" i="16"/>
  <c r="AH458" i="16"/>
  <c r="AJ458" i="16" s="1"/>
  <c r="AJ596" i="16"/>
  <c r="AH600" i="16"/>
  <c r="AJ600" i="16" s="1"/>
  <c r="AJ715" i="16"/>
  <c r="AH717" i="16"/>
  <c r="AJ717" i="16" s="1"/>
  <c r="AA682" i="16"/>
  <c r="AH680" i="16"/>
  <c r="AJ840" i="16"/>
  <c r="AH843" i="16"/>
  <c r="AJ843" i="16" s="1"/>
  <c r="AJ1023" i="16"/>
  <c r="AH1025" i="16"/>
  <c r="AJ1025" i="16" s="1"/>
  <c r="AJ998" i="16"/>
  <c r="AH1000" i="16"/>
  <c r="AJ1000" i="16" s="1"/>
  <c r="AJ974" i="16"/>
  <c r="AH976" i="16"/>
  <c r="AJ976" i="16" s="1"/>
  <c r="AJ949" i="16"/>
  <c r="AH951" i="16"/>
  <c r="AJ951" i="16" s="1"/>
  <c r="AJ897" i="16"/>
  <c r="AH899" i="16"/>
  <c r="AJ899" i="16" s="1"/>
  <c r="AJ1043" i="16"/>
  <c r="AH1045" i="16"/>
  <c r="AJ1045" i="16" s="1"/>
  <c r="AJ501" i="16"/>
  <c r="AH503" i="16"/>
  <c r="AJ503" i="16" s="1"/>
  <c r="AJ1293" i="16"/>
  <c r="AJ695" i="16"/>
  <c r="AH699" i="16"/>
  <c r="AJ699" i="16" s="1"/>
  <c r="AJ867" i="16"/>
  <c r="AH869" i="16"/>
  <c r="AJ869" i="16" s="1"/>
  <c r="AJ447" i="16"/>
  <c r="AH449" i="16"/>
  <c r="AJ449" i="16" s="1"/>
  <c r="AJ1069" i="16"/>
  <c r="AH1071" i="16"/>
  <c r="AJ1071" i="16" s="1"/>
  <c r="AJ546" i="16"/>
  <c r="AH548" i="16"/>
  <c r="AJ548" i="16" s="1"/>
  <c r="AH970" i="16"/>
  <c r="AJ970" i="16" s="1"/>
  <c r="AA2038" i="16"/>
  <c r="AA2034" i="16" s="1"/>
  <c r="AW26" i="18" s="1"/>
  <c r="AH171" i="16"/>
  <c r="AH2288" i="16" s="1"/>
  <c r="AJ2288" i="16" s="1"/>
  <c r="AJ531" i="16"/>
  <c r="AH536" i="16"/>
  <c r="AJ536" i="16" s="1"/>
  <c r="AH29" i="16"/>
  <c r="AH169" i="16"/>
  <c r="AJ317" i="16"/>
  <c r="AH73" i="16"/>
  <c r="AJ281" i="16"/>
  <c r="AH285" i="16"/>
  <c r="AJ285" i="16" s="1"/>
  <c r="AJ420" i="16"/>
  <c r="AH425" i="16"/>
  <c r="AJ425" i="16" s="1"/>
  <c r="AH52" i="16"/>
  <c r="AJ192" i="16"/>
  <c r="AH194" i="16"/>
  <c r="AJ194" i="16" s="1"/>
  <c r="AH150" i="16"/>
  <c r="AJ316" i="16"/>
  <c r="AH319" i="16"/>
  <c r="AJ319" i="16" s="1"/>
  <c r="AH63" i="16"/>
  <c r="AH42" i="16"/>
  <c r="AH180" i="4"/>
  <c r="AH48" i="4"/>
  <c r="AH118" i="4"/>
  <c r="AH542" i="4"/>
  <c r="AH242" i="4"/>
  <c r="AH15" i="4"/>
  <c r="AH560" i="4"/>
  <c r="AA46" i="5"/>
  <c r="T48" i="18"/>
  <c r="T48" i="5" s="1"/>
  <c r="AH562" i="4"/>
  <c r="AH146" i="4"/>
  <c r="AH41" i="4"/>
  <c r="AH271" i="4"/>
  <c r="AA26" i="5" s="1"/>
  <c r="AH152" i="4"/>
  <c r="T10" i="18"/>
  <c r="AH92" i="4"/>
  <c r="AA10" i="5" s="1"/>
  <c r="AH207" i="4"/>
  <c r="AA249" i="4"/>
  <c r="AH245" i="4"/>
  <c r="AH249" i="4" s="1"/>
  <c r="AH135" i="4"/>
  <c r="AH69" i="4"/>
  <c r="AH75" i="4" s="1"/>
  <c r="T9" i="18"/>
  <c r="AH91" i="4"/>
  <c r="AA9" i="5" s="1"/>
  <c r="AH84" i="4"/>
  <c r="AH235" i="4"/>
  <c r="AH259" i="4"/>
  <c r="T11" i="18"/>
  <c r="T11" i="5" s="1"/>
  <c r="AH106" i="4"/>
  <c r="AA11" i="5" s="1"/>
  <c r="AH18" i="16"/>
  <c r="AA8" i="5"/>
  <c r="T21" i="19"/>
  <c r="AA560" i="4"/>
  <c r="T46" i="18"/>
  <c r="T10" i="5"/>
  <c r="AA135" i="4"/>
  <c r="T13" i="19"/>
  <c r="T12" i="5"/>
  <c r="T18" i="17"/>
  <c r="T9" i="5"/>
  <c r="AW10" i="18"/>
  <c r="AW8" i="17"/>
  <c r="AW9" i="18"/>
  <c r="AW8" i="19"/>
  <c r="T8" i="18"/>
  <c r="T16" i="18"/>
  <c r="T13" i="18"/>
  <c r="AA19" i="4"/>
  <c r="AH19" i="4" s="1"/>
  <c r="AH24" i="4" s="1"/>
  <c r="AG46" i="5"/>
  <c r="AF48" i="5"/>
  <c r="AA1248" i="16"/>
  <c r="AA1465" i="16"/>
  <c r="AA1274" i="16"/>
  <c r="AA1310" i="16"/>
  <c r="AA1333" i="16"/>
  <c r="AA1453" i="16"/>
  <c r="AA1316" i="16"/>
  <c r="AA1752" i="16"/>
  <c r="AW25" i="19" s="1"/>
  <c r="AA1339" i="16"/>
  <c r="AA1281" i="16"/>
  <c r="AA1351" i="16"/>
  <c r="AA1471" i="16"/>
  <c r="AA1304" i="16"/>
  <c r="AA1287" i="16"/>
  <c r="AA1298" i="16"/>
  <c r="AA48" i="4"/>
  <c r="AA118" i="4"/>
  <c r="AA84" i="4"/>
  <c r="AA65" i="4"/>
  <c r="AA33" i="4"/>
  <c r="AA1754" i="16"/>
  <c r="AA249" i="16"/>
  <c r="AA988" i="16"/>
  <c r="AA881" i="16"/>
  <c r="AA1057" i="16"/>
  <c r="AA343" i="16"/>
  <c r="AA243" i="16"/>
  <c r="AA277" i="16"/>
  <c r="AA300" i="16"/>
  <c r="AA360" i="16"/>
  <c r="AA464" i="16"/>
  <c r="AA724" i="16"/>
  <c r="AA829" i="16"/>
  <c r="AA1031" i="16"/>
  <c r="AA1006" i="16"/>
  <c r="AA982" i="16"/>
  <c r="AA957" i="16"/>
  <c r="AA927" i="16"/>
  <c r="AA875" i="16"/>
  <c r="AA509" i="16"/>
  <c r="AA396" i="16"/>
  <c r="AA476" i="16"/>
  <c r="AA271" i="16"/>
  <c r="AA225" i="16"/>
  <c r="AA366" i="16"/>
  <c r="AA1013" i="16"/>
  <c r="AA887" i="16"/>
  <c r="AA237" i="16"/>
  <c r="AA258" i="16"/>
  <c r="AA265" i="16"/>
  <c r="AA294" i="16"/>
  <c r="AA717" i="16"/>
  <c r="AA1025" i="16"/>
  <c r="AA1000" i="16"/>
  <c r="AA976" i="16"/>
  <c r="AA899" i="16"/>
  <c r="AA1045" i="16"/>
  <c r="AA503" i="16"/>
  <c r="AA869" i="16"/>
  <c r="AA449" i="16"/>
  <c r="AA548" i="16"/>
  <c r="AA614" i="16"/>
  <c r="AA575" i="16"/>
  <c r="AA1037" i="16"/>
  <c r="AA963" i="16"/>
  <c r="AA515" i="16"/>
  <c r="AA331" i="16"/>
  <c r="AA337" i="16"/>
  <c r="AA231" i="16"/>
  <c r="AA312" i="16"/>
  <c r="AA372" i="16"/>
  <c r="AA381" i="16"/>
  <c r="AA836" i="16"/>
  <c r="AA1019" i="16"/>
  <c r="AA994" i="16"/>
  <c r="AA893" i="16"/>
  <c r="AA527" i="16"/>
  <c r="AA497" i="16"/>
  <c r="AA521" i="16"/>
  <c r="AA470" i="16"/>
  <c r="AA849" i="16"/>
  <c r="AA905" i="16"/>
  <c r="AA1051" i="16"/>
  <c r="AA325" i="16"/>
  <c r="AA431" i="16"/>
  <c r="AA210" i="16"/>
  <c r="AA1486" i="16"/>
  <c r="AA1494" i="16"/>
  <c r="AA1520" i="16"/>
  <c r="AA1528" i="16"/>
  <c r="AA935" i="16"/>
  <c r="AA921" i="16"/>
  <c r="AA194" i="16"/>
  <c r="AA843" i="16"/>
  <c r="AA951" i="16"/>
  <c r="AA451" i="16"/>
  <c r="AA943" i="16"/>
  <c r="AA110" i="16"/>
  <c r="AA631" i="16"/>
  <c r="AA1512" i="16"/>
  <c r="AA55" i="4"/>
  <c r="AA24" i="4"/>
  <c r="AA15" i="4"/>
  <c r="AA1750" i="16"/>
  <c r="AA1258" i="16"/>
  <c r="AA659" i="16"/>
  <c r="AA666" i="16"/>
  <c r="AA99" i="16"/>
  <c r="AA1064" i="16"/>
  <c r="AA18" i="16"/>
  <c r="AA691" i="16"/>
  <c r="AA622" i="16"/>
  <c r="AA169" i="16"/>
  <c r="AA75" i="4"/>
  <c r="AA180" i="4"/>
  <c r="AA207" i="4"/>
  <c r="AA41" i="4"/>
  <c r="AA146" i="4"/>
  <c r="T1447" i="16"/>
  <c r="AA1445" i="16"/>
  <c r="AA219" i="16"/>
  <c r="AA592" i="16"/>
  <c r="AA491" i="16"/>
  <c r="AA1327" i="16"/>
  <c r="AA73" i="16"/>
  <c r="AA650" i="16"/>
  <c r="AA88" i="16"/>
  <c r="T1363" i="16"/>
  <c r="AA1361" i="16"/>
  <c r="AH1361" i="16" s="1"/>
  <c r="AA1504" i="16"/>
  <c r="AP10" i="19"/>
  <c r="AA126" i="16"/>
  <c r="AA913" i="16"/>
  <c r="AA2236" i="16"/>
  <c r="AW34" i="19" s="1"/>
  <c r="AA1429" i="16"/>
  <c r="T1345" i="16"/>
  <c r="AA1343" i="16"/>
  <c r="AA458" i="16"/>
  <c r="AA600" i="16"/>
  <c r="AA171" i="16"/>
  <c r="AA285" i="16"/>
  <c r="AA425" i="16"/>
  <c r="AA584" i="16"/>
  <c r="AA711" i="16"/>
  <c r="AA52" i="16"/>
  <c r="T1441" i="16"/>
  <c r="AA1439" i="16"/>
  <c r="AH1439" i="16" s="1"/>
  <c r="AA823" i="16"/>
  <c r="T1459" i="16"/>
  <c r="AA1457" i="16"/>
  <c r="AA1405" i="16"/>
  <c r="AW21" i="19" s="1"/>
  <c r="AA1357" i="16"/>
  <c r="T1371" i="16"/>
  <c r="AA1367" i="16"/>
  <c r="T1477" i="16"/>
  <c r="AA1475" i="16"/>
  <c r="AA536" i="16"/>
  <c r="AA641" i="16"/>
  <c r="AA1079" i="16"/>
  <c r="AA2238" i="16"/>
  <c r="AA2193" i="16"/>
  <c r="AA2205" i="16"/>
  <c r="AW31" i="19" s="1"/>
  <c r="AA2065" i="16"/>
  <c r="AA1268" i="16"/>
  <c r="AA186" i="16"/>
  <c r="AA608" i="16"/>
  <c r="AA150" i="16"/>
  <c r="AA319" i="16"/>
  <c r="AA699" i="16"/>
  <c r="AA63" i="16"/>
  <c r="AA42" i="16"/>
  <c r="AA1071" i="16"/>
  <c r="AA970" i="16"/>
  <c r="AP48" i="18"/>
  <c r="AP48" i="5" s="1"/>
  <c r="AA2243" i="16"/>
  <c r="AP9" i="19"/>
  <c r="AA124" i="16"/>
  <c r="AH124" i="16" s="1"/>
  <c r="AP31" i="18"/>
  <c r="AA2185" i="16"/>
  <c r="AA29" i="16"/>
  <c r="T674" i="16"/>
  <c r="AA672" i="16"/>
  <c r="AH672" i="16" s="1"/>
  <c r="AP46" i="18"/>
  <c r="AA2242" i="16"/>
  <c r="AA413" i="16"/>
  <c r="T2071" i="16"/>
  <c r="AA2069" i="16"/>
  <c r="AA242" i="4"/>
  <c r="T24" i="18" s="1"/>
  <c r="M14" i="18"/>
  <c r="M14" i="5" s="1"/>
  <c r="AA104" i="4"/>
  <c r="AH104" i="4" s="1"/>
  <c r="AA14" i="5" s="1"/>
  <c r="AA542" i="4"/>
  <c r="T43" i="18" s="1"/>
  <c r="AA235" i="4"/>
  <c r="AA271" i="4"/>
  <c r="AA259" i="4"/>
  <c r="AA152" i="4"/>
  <c r="AA565" i="4"/>
  <c r="AP8" i="19"/>
  <c r="AP9" i="18"/>
  <c r="AP10" i="18"/>
  <c r="AP8" i="17"/>
  <c r="M48" i="18"/>
  <c r="M11" i="18"/>
  <c r="M21" i="19"/>
  <c r="M9" i="18"/>
  <c r="M18" i="17"/>
  <c r="M12" i="5"/>
  <c r="T249" i="4"/>
  <c r="T48" i="4"/>
  <c r="T15" i="4"/>
  <c r="T65" i="4"/>
  <c r="M46" i="18"/>
  <c r="T560" i="4"/>
  <c r="T129" i="4"/>
  <c r="M16" i="18"/>
  <c r="T89" i="4"/>
  <c r="M15" i="18" s="1"/>
  <c r="E15" i="18"/>
  <c r="E15" i="5" s="1"/>
  <c r="T135" i="4"/>
  <c r="M13" i="19"/>
  <c r="M8" i="18"/>
  <c r="T33" i="4"/>
  <c r="M13" i="18"/>
  <c r="L291" i="4"/>
  <c r="T443" i="4"/>
  <c r="AA443" i="4" s="1"/>
  <c r="L459" i="4"/>
  <c r="T55" i="4"/>
  <c r="J378" i="4"/>
  <c r="J392" i="4"/>
  <c r="K133" i="4"/>
  <c r="K137" i="4" s="1"/>
  <c r="T84" i="4"/>
  <c r="T242" i="4"/>
  <c r="T24" i="4"/>
  <c r="E45" i="18"/>
  <c r="E45" i="5" s="1"/>
  <c r="T550" i="4"/>
  <c r="L157" i="4"/>
  <c r="T155" i="4"/>
  <c r="AA155" i="4" s="1"/>
  <c r="AH155" i="4" s="1"/>
  <c r="AH157" i="4" s="1"/>
  <c r="L187" i="4"/>
  <c r="T183" i="4"/>
  <c r="AA183" i="4" s="1"/>
  <c r="L373" i="4"/>
  <c r="T368" i="4"/>
  <c r="AA368" i="4" s="1"/>
  <c r="L324" i="4"/>
  <c r="T313" i="4"/>
  <c r="AA313" i="4" s="1"/>
  <c r="AH313" i="4" s="1"/>
  <c r="L365" i="4"/>
  <c r="T359" i="4"/>
  <c r="AA359" i="4" s="1"/>
  <c r="L337" i="4"/>
  <c r="T333" i="4"/>
  <c r="AA333" i="4" s="1"/>
  <c r="T542" i="4"/>
  <c r="L162" i="4"/>
  <c r="T160" i="4"/>
  <c r="AA160" i="4" s="1"/>
  <c r="T271" i="4"/>
  <c r="T259" i="4"/>
  <c r="L302" i="4"/>
  <c r="T300" i="4"/>
  <c r="AA300" i="4" s="1"/>
  <c r="L213" i="4"/>
  <c r="T210" i="4"/>
  <c r="AA210" i="4" s="1"/>
  <c r="T41" i="4"/>
  <c r="T118" i="4"/>
  <c r="L544" i="4"/>
  <c r="E43" i="19" s="1"/>
  <c r="T535" i="4"/>
  <c r="AA535" i="4" s="1"/>
  <c r="T146" i="4"/>
  <c r="T152" i="4"/>
  <c r="T180" i="4"/>
  <c r="L198" i="4"/>
  <c r="T195" i="4"/>
  <c r="AA195" i="4" s="1"/>
  <c r="L307" i="4"/>
  <c r="T305" i="4"/>
  <c r="AA305" i="4" s="1"/>
  <c r="E35" i="18"/>
  <c r="T462" i="4"/>
  <c r="AA462" i="4" s="1"/>
  <c r="AH462" i="4" s="1"/>
  <c r="T75" i="4"/>
  <c r="L297" i="4"/>
  <c r="T295" i="4"/>
  <c r="AA295" i="4" s="1"/>
  <c r="AH295" i="4" s="1"/>
  <c r="AH297" i="4" s="1"/>
  <c r="L330" i="4"/>
  <c r="T327" i="4"/>
  <c r="AA327" i="4" s="1"/>
  <c r="T207" i="4"/>
  <c r="L402" i="4"/>
  <c r="L573" i="4" s="1"/>
  <c r="T287" i="4"/>
  <c r="AA287" i="4" s="1"/>
  <c r="AH287" i="4" s="1"/>
  <c r="E33" i="18"/>
  <c r="T413" i="4"/>
  <c r="AA413" i="4" s="1"/>
  <c r="AH413" i="4" s="1"/>
  <c r="T565" i="4"/>
  <c r="L167" i="4"/>
  <c r="T165" i="4"/>
  <c r="AA165" i="4" s="1"/>
  <c r="T109" i="4"/>
  <c r="T235" i="4"/>
  <c r="T2034" i="16"/>
  <c r="AP26" i="18" s="1"/>
  <c r="T134" i="16"/>
  <c r="T564" i="16"/>
  <c r="L566" i="16"/>
  <c r="L568" i="16" s="1"/>
  <c r="T527" i="16"/>
  <c r="T540" i="16"/>
  <c r="AA540" i="16" s="1"/>
  <c r="AH540" i="16" s="1"/>
  <c r="L542" i="16"/>
  <c r="T548" i="16"/>
  <c r="T552" i="16"/>
  <c r="AA552" i="16" s="1"/>
  <c r="AH552" i="16" s="1"/>
  <c r="L554" i="16"/>
  <c r="T521" i="16"/>
  <c r="T509" i="16"/>
  <c r="T536" i="16"/>
  <c r="T641" i="16"/>
  <c r="T503" i="16"/>
  <c r="T515" i="16"/>
  <c r="T497" i="16"/>
  <c r="T659" i="16"/>
  <c r="T666" i="16"/>
  <c r="T650" i="16"/>
  <c r="T2205" i="16"/>
  <c r="AP31" i="19" s="1"/>
  <c r="T1304" i="16"/>
  <c r="T1339" i="16"/>
  <c r="T186" i="16"/>
  <c r="T231" i="16"/>
  <c r="T312" i="16"/>
  <c r="T372" i="16"/>
  <c r="T381" i="16"/>
  <c r="T608" i="16"/>
  <c r="T836" i="16"/>
  <c r="T1019" i="16"/>
  <c r="T994" i="16"/>
  <c r="T943" i="16"/>
  <c r="T893" i="16"/>
  <c r="T150" i="16"/>
  <c r="T319" i="16"/>
  <c r="T699" i="16"/>
  <c r="T869" i="16"/>
  <c r="T63" i="16"/>
  <c r="T42" i="16"/>
  <c r="T449" i="16"/>
  <c r="T1071" i="16"/>
  <c r="T970" i="16"/>
  <c r="T1310" i="16"/>
  <c r="T249" i="16"/>
  <c r="T225" i="16"/>
  <c r="T306" i="16"/>
  <c r="T366" i="16"/>
  <c r="T614" i="16"/>
  <c r="T575" i="16"/>
  <c r="T1037" i="16"/>
  <c r="T1013" i="16"/>
  <c r="T988" i="16"/>
  <c r="T963" i="16"/>
  <c r="T935" i="16"/>
  <c r="T881" i="16"/>
  <c r="T110" i="16"/>
  <c r="T470" i="16"/>
  <c r="T849" i="16"/>
  <c r="T905" i="16"/>
  <c r="T1051" i="16"/>
  <c r="T99" i="16"/>
  <c r="T88" i="16"/>
  <c r="T73" i="16"/>
  <c r="T29" i="16"/>
  <c r="T18" i="16"/>
  <c r="T325" i="16"/>
  <c r="T431" i="16"/>
  <c r="T622" i="16"/>
  <c r="T631" i="16"/>
  <c r="T210" i="16"/>
  <c r="T1248" i="16"/>
  <c r="T1465" i="16"/>
  <c r="T128" i="16"/>
  <c r="T413" i="16"/>
  <c r="T1064" i="16"/>
  <c r="T1274" i="16"/>
  <c r="T1281" i="16"/>
  <c r="T1351" i="16"/>
  <c r="T243" i="16"/>
  <c r="T219" i="16"/>
  <c r="T277" i="16"/>
  <c r="T300" i="16"/>
  <c r="T360" i="16"/>
  <c r="T464" i="16"/>
  <c r="T592" i="16"/>
  <c r="T724" i="16"/>
  <c r="T816" i="16" s="1"/>
  <c r="T691" i="16"/>
  <c r="T829" i="16"/>
  <c r="T1031" i="16"/>
  <c r="T1006" i="16"/>
  <c r="T982" i="16"/>
  <c r="T957" i="16"/>
  <c r="T927" i="16"/>
  <c r="T875" i="16"/>
  <c r="T491" i="16"/>
  <c r="T1453" i="16"/>
  <c r="T887" i="16"/>
  <c r="T1057" i="16"/>
  <c r="T331" i="16"/>
  <c r="T337" i="16"/>
  <c r="T823" i="16"/>
  <c r="T1316" i="16"/>
  <c r="T343" i="16"/>
  <c r="T913" i="16"/>
  <c r="T1333" i="16"/>
  <c r="T2236" i="16"/>
  <c r="AP34" i="19" s="1"/>
  <c r="T1287" i="16"/>
  <c r="T194" i="16"/>
  <c r="T237" i="16"/>
  <c r="T258" i="16"/>
  <c r="T265" i="16"/>
  <c r="T294" i="16"/>
  <c r="T387" i="16"/>
  <c r="T458" i="16"/>
  <c r="T600" i="16"/>
  <c r="T717" i="16"/>
  <c r="T682" i="16"/>
  <c r="T843" i="16"/>
  <c r="T1025" i="16"/>
  <c r="T1000" i="16"/>
  <c r="T976" i="16"/>
  <c r="T951" i="16"/>
  <c r="T899" i="16"/>
  <c r="T1045" i="16"/>
  <c r="T139" i="16"/>
  <c r="T285" i="16"/>
  <c r="T425" i="16"/>
  <c r="T584" i="16"/>
  <c r="T711" i="16"/>
  <c r="T921" i="16"/>
  <c r="T52" i="16"/>
  <c r="T396" i="16"/>
  <c r="T404" i="16" s="1"/>
  <c r="T476" i="16"/>
  <c r="T271" i="16"/>
  <c r="T855" i="16"/>
  <c r="T1471" i="16"/>
  <c r="T1079" i="16"/>
  <c r="T2238" i="16"/>
  <c r="T2247" i="16"/>
  <c r="T1754" i="16"/>
  <c r="T1750" i="16"/>
  <c r="AP25" i="18" s="1"/>
  <c r="T1486" i="16"/>
  <c r="T1494" i="16"/>
  <c r="T1504" i="16"/>
  <c r="T1512" i="16"/>
  <c r="T1520" i="16"/>
  <c r="T1528" i="16"/>
  <c r="T1429" i="16"/>
  <c r="T1357" i="16"/>
  <c r="T1405" i="16"/>
  <c r="AP21" i="19" s="1"/>
  <c r="T2193" i="16"/>
  <c r="T2065" i="16"/>
  <c r="T1268" i="16"/>
  <c r="T1298" i="16"/>
  <c r="T2187" i="16"/>
  <c r="T2203" i="16"/>
  <c r="T1258" i="16"/>
  <c r="T169" i="16"/>
  <c r="T1327" i="16"/>
  <c r="T175" i="16"/>
  <c r="T171" i="16"/>
  <c r="C48" i="5"/>
  <c r="C47" i="5"/>
  <c r="L2205" i="16"/>
  <c r="AH31" i="19" s="1"/>
  <c r="AH31" i="18"/>
  <c r="AH46" i="18"/>
  <c r="L2071" i="16"/>
  <c r="L1429" i="16"/>
  <c r="L1441" i="16"/>
  <c r="L1459" i="16"/>
  <c r="L1471" i="16"/>
  <c r="L1371" i="16"/>
  <c r="L1477" i="16"/>
  <c r="L1447" i="16"/>
  <c r="L1453" i="16"/>
  <c r="L1465" i="16"/>
  <c r="L1281" i="16"/>
  <c r="L1287" i="16"/>
  <c r="L1345" i="16"/>
  <c r="L1304" i="16"/>
  <c r="L1339" i="16"/>
  <c r="L1351" i="16"/>
  <c r="L1316" i="16"/>
  <c r="L1363" i="16"/>
  <c r="L1274" i="16"/>
  <c r="L1310" i="16"/>
  <c r="L1333" i="16"/>
  <c r="L1248" i="16"/>
  <c r="L836" i="16"/>
  <c r="L1019" i="16"/>
  <c r="L994" i="16"/>
  <c r="L943" i="16"/>
  <c r="L893" i="16"/>
  <c r="L869" i="16"/>
  <c r="L1071" i="16"/>
  <c r="L881" i="16"/>
  <c r="L849" i="16"/>
  <c r="L905" i="16"/>
  <c r="L1051" i="16"/>
  <c r="L1037" i="16"/>
  <c r="L1013" i="16"/>
  <c r="L988" i="16"/>
  <c r="L963" i="16"/>
  <c r="L829" i="16"/>
  <c r="L1031" i="16"/>
  <c r="L1006" i="16"/>
  <c r="L982" i="16"/>
  <c r="L957" i="16"/>
  <c r="L927" i="16"/>
  <c r="L875" i="16"/>
  <c r="L887" i="16"/>
  <c r="L1057" i="16"/>
  <c r="L1025" i="16"/>
  <c r="L1000" i="16"/>
  <c r="L976" i="16"/>
  <c r="L951" i="16"/>
  <c r="L899" i="16"/>
  <c r="L1045" i="16"/>
  <c r="L855" i="16"/>
  <c r="L717" i="16"/>
  <c r="L464" i="16"/>
  <c r="L491" i="16"/>
  <c r="L476" i="16"/>
  <c r="L458" i="16"/>
  <c r="L682" i="16"/>
  <c r="L503" i="16"/>
  <c r="L614" i="16"/>
  <c r="L575" i="16"/>
  <c r="L515" i="16"/>
  <c r="L497" i="16"/>
  <c r="L470" i="16"/>
  <c r="L631" i="16"/>
  <c r="L674" i="16"/>
  <c r="L360" i="16"/>
  <c r="L387" i="16"/>
  <c r="L396" i="16"/>
  <c r="L404" i="16" s="1"/>
  <c r="L413" i="16"/>
  <c r="L415" i="16" s="1"/>
  <c r="L372" i="16"/>
  <c r="L381" i="16"/>
  <c r="L366" i="16"/>
  <c r="L431" i="16"/>
  <c r="L277" i="16"/>
  <c r="L237" i="16"/>
  <c r="L258" i="16"/>
  <c r="L294" i="16"/>
  <c r="L271" i="16"/>
  <c r="L343" i="16"/>
  <c r="L243" i="16"/>
  <c r="L231" i="16"/>
  <c r="L312" i="16"/>
  <c r="L219" i="16"/>
  <c r="L300" i="16"/>
  <c r="L331" i="16"/>
  <c r="L337" i="16"/>
  <c r="L249" i="16"/>
  <c r="L306" i="16"/>
  <c r="L325" i="16"/>
  <c r="L210" i="16"/>
  <c r="L186" i="16"/>
  <c r="AH9" i="19"/>
  <c r="E48" i="18"/>
  <c r="E48" i="5" s="1"/>
  <c r="L567" i="4"/>
  <c r="L571" i="4" s="1"/>
  <c r="C29" i="18"/>
  <c r="L15" i="4"/>
  <c r="E46" i="18"/>
  <c r="E46" i="5" s="1"/>
  <c r="L560" i="4"/>
  <c r="J277" i="4"/>
  <c r="C24" i="18"/>
  <c r="C24" i="5" s="1"/>
  <c r="L129" i="4"/>
  <c r="J133" i="4"/>
  <c r="J137" i="4" s="1"/>
  <c r="E21" i="19"/>
  <c r="E24" i="19"/>
  <c r="D36" i="18"/>
  <c r="D36" i="5" s="1"/>
  <c r="D37" i="5" s="1"/>
  <c r="K524" i="4"/>
  <c r="C39" i="18"/>
  <c r="C42" i="18" s="1"/>
  <c r="J520" i="4"/>
  <c r="E16" i="18"/>
  <c r="E16" i="5" s="1"/>
  <c r="D43" i="18"/>
  <c r="K546" i="4"/>
  <c r="E21" i="18"/>
  <c r="L242" i="4"/>
  <c r="D41" i="18"/>
  <c r="D42" i="18" s="1"/>
  <c r="K520" i="4"/>
  <c r="L98" i="4"/>
  <c r="E9" i="18"/>
  <c r="E9" i="5" s="1"/>
  <c r="L135" i="4"/>
  <c r="L2236" i="16"/>
  <c r="AH34" i="19" s="1"/>
  <c r="L2238" i="16"/>
  <c r="AF10" i="5"/>
  <c r="AF9" i="5"/>
  <c r="L175" i="16"/>
  <c r="AH10" i="18"/>
  <c r="AH8" i="19"/>
  <c r="E13" i="19"/>
  <c r="E18" i="19" s="1"/>
  <c r="AG8" i="5"/>
  <c r="AG10" i="5"/>
  <c r="K173" i="16"/>
  <c r="K177" i="16" s="1"/>
  <c r="L1357" i="16"/>
  <c r="L1405" i="16"/>
  <c r="AH21" i="19" s="1"/>
  <c r="AH8" i="17"/>
  <c r="AG9" i="5"/>
  <c r="C13" i="5"/>
  <c r="C18" i="17"/>
  <c r="C12" i="5"/>
  <c r="D18" i="17"/>
  <c r="D44" i="17" s="1"/>
  <c r="D50" i="17" s="1"/>
  <c r="D12" i="5"/>
  <c r="D18" i="5" s="1"/>
  <c r="L146" i="4"/>
  <c r="E34" i="18"/>
  <c r="E34" i="5" s="1"/>
  <c r="K404" i="4"/>
  <c r="L565" i="4"/>
  <c r="L55" i="4"/>
  <c r="J355" i="4"/>
  <c r="L48" i="4"/>
  <c r="L118" i="4"/>
  <c r="L552" i="4"/>
  <c r="L75" i="4"/>
  <c r="K571" i="4"/>
  <c r="E39" i="18"/>
  <c r="E39" i="5" s="1"/>
  <c r="L518" i="4"/>
  <c r="L487" i="4"/>
  <c r="K497" i="4"/>
  <c r="L65" i="4"/>
  <c r="L249" i="4"/>
  <c r="L259" i="4"/>
  <c r="L279" i="4" s="1"/>
  <c r="C20" i="19"/>
  <c r="C20" i="5" s="1"/>
  <c r="L440" i="4"/>
  <c r="L180" i="4"/>
  <c r="L189" i="4" s="1"/>
  <c r="D22" i="18"/>
  <c r="K1242" i="16"/>
  <c r="L2187" i="16"/>
  <c r="L2203" i="16"/>
  <c r="K1240" i="16"/>
  <c r="K1550" i="16"/>
  <c r="K1546" i="16" s="1"/>
  <c r="L1754" i="16"/>
  <c r="J1240" i="16"/>
  <c r="J2055" i="16" s="1"/>
  <c r="J2292" i="16" s="1"/>
  <c r="J1550" i="16"/>
  <c r="J1546" i="16" s="1"/>
  <c r="L724" i="16"/>
  <c r="L816" i="16" s="1"/>
  <c r="L521" i="16"/>
  <c r="J556" i="16"/>
  <c r="L1750" i="16"/>
  <c r="AH25" i="18" s="1"/>
  <c r="K2176" i="16"/>
  <c r="J1103" i="16"/>
  <c r="K1530" i="16"/>
  <c r="J1530" i="16"/>
  <c r="L319" i="16"/>
  <c r="L509" i="16"/>
  <c r="L921" i="16"/>
  <c r="L1258" i="16"/>
  <c r="C21" i="5"/>
  <c r="D49" i="18"/>
  <c r="D49" i="5" s="1"/>
  <c r="L41" i="4"/>
  <c r="D18" i="18"/>
  <c r="L24" i="4"/>
  <c r="J571" i="4"/>
  <c r="C49" i="18"/>
  <c r="C49" i="5" s="1"/>
  <c r="D43" i="19"/>
  <c r="J497" i="4"/>
  <c r="J380" i="4"/>
  <c r="J309" i="4"/>
  <c r="E29" i="17"/>
  <c r="C22" i="18"/>
  <c r="E20" i="18"/>
  <c r="J169" i="4"/>
  <c r="E8" i="18"/>
  <c r="E13" i="18"/>
  <c r="L1528" i="16"/>
  <c r="L285" i="16"/>
  <c r="L150" i="16"/>
  <c r="L1298" i="16"/>
  <c r="J863" i="16"/>
  <c r="L823" i="16"/>
  <c r="L843" i="16"/>
  <c r="L1415" i="16"/>
  <c r="L169" i="16"/>
  <c r="L1494" i="16"/>
  <c r="L1504" i="16"/>
  <c r="L1512" i="16"/>
  <c r="L1520" i="16"/>
  <c r="L52" i="16"/>
  <c r="AG18" i="17"/>
  <c r="AG44" i="17" s="1"/>
  <c r="C18" i="18"/>
  <c r="C8" i="5"/>
  <c r="C18" i="19"/>
  <c r="L33" i="4"/>
  <c r="C38" i="19"/>
  <c r="L542" i="4"/>
  <c r="L538" i="4"/>
  <c r="AF31" i="5"/>
  <c r="L84" i="4"/>
  <c r="L171" i="16"/>
  <c r="L2288" i="16" s="1"/>
  <c r="L425" i="16"/>
  <c r="L659" i="16"/>
  <c r="L666" i="16"/>
  <c r="L536" i="16"/>
  <c r="L152" i="4"/>
  <c r="L235" i="4"/>
  <c r="L271" i="4"/>
  <c r="L207" i="4"/>
  <c r="C32" i="17"/>
  <c r="J573" i="4"/>
  <c r="L109" i="4"/>
  <c r="E38" i="19"/>
  <c r="J189" i="4"/>
  <c r="K273" i="4"/>
  <c r="K281" i="4" s="1"/>
  <c r="D25" i="18"/>
  <c r="L650" i="16"/>
  <c r="E36" i="18"/>
  <c r="E36" i="5" s="1"/>
  <c r="AF26" i="5"/>
  <c r="J261" i="4"/>
  <c r="K1289" i="16"/>
  <c r="L592" i="16"/>
  <c r="J374" i="16"/>
  <c r="J676" i="16"/>
  <c r="J439" i="16"/>
  <c r="L970" i="16"/>
  <c r="L1079" i="16"/>
  <c r="L1064" i="16"/>
  <c r="AG49" i="18"/>
  <c r="L1268" i="16"/>
  <c r="L110" i="16"/>
  <c r="AH8" i="18"/>
  <c r="AG27" i="5"/>
  <c r="L935" i="16"/>
  <c r="J203" i="16"/>
  <c r="J251" i="16"/>
  <c r="J287" i="16"/>
  <c r="J353" i="16"/>
  <c r="J389" i="16"/>
  <c r="L194" i="16"/>
  <c r="J478" i="16"/>
  <c r="L641" i="16"/>
  <c r="L913" i="16"/>
  <c r="L608" i="16"/>
  <c r="L600" i="16"/>
  <c r="L584" i="16"/>
  <c r="L691" i="16"/>
  <c r="L139" i="16"/>
  <c r="L622" i="16"/>
  <c r="J173" i="16"/>
  <c r="J177" i="16" s="1"/>
  <c r="J415" i="16"/>
  <c r="L699" i="16"/>
  <c r="L99" i="16"/>
  <c r="L73" i="16"/>
  <c r="L63" i="16"/>
  <c r="L29" i="16"/>
  <c r="L18" i="16"/>
  <c r="L1486" i="16"/>
  <c r="AF49" i="18"/>
  <c r="L711" i="16"/>
  <c r="L2065" i="16"/>
  <c r="L265" i="16"/>
  <c r="L449" i="16"/>
  <c r="L451" i="16" s="1"/>
  <c r="L1327" i="16"/>
  <c r="L88" i="16"/>
  <c r="AH9" i="18"/>
  <c r="L42" i="16"/>
  <c r="AG31" i="5"/>
  <c r="K2201" i="16"/>
  <c r="AH27" i="5"/>
  <c r="L2193" i="16"/>
  <c r="J1289" i="16"/>
  <c r="J1407" i="16" s="1"/>
  <c r="L225" i="16"/>
  <c r="J633" i="16"/>
  <c r="J1039" i="16"/>
  <c r="AH10" i="19"/>
  <c r="L128" i="16"/>
  <c r="AF18" i="17"/>
  <c r="AF44" i="17" s="1"/>
  <c r="L2247" i="16"/>
  <c r="L2249" i="16" s="1"/>
  <c r="AH48" i="18"/>
  <c r="AG18" i="18"/>
  <c r="AF34" i="5"/>
  <c r="AG18" i="19"/>
  <c r="AG34" i="5"/>
  <c r="AF18" i="18"/>
  <c r="AF18" i="19"/>
  <c r="AH2234" i="16" l="1"/>
  <c r="BD34" i="5" s="1"/>
  <c r="AW46" i="18"/>
  <c r="AH2242" i="16"/>
  <c r="AA2071" i="16"/>
  <c r="AA2178" i="16" s="1"/>
  <c r="AH2069" i="16"/>
  <c r="AH2071" i="16" s="1"/>
  <c r="AW31" i="18"/>
  <c r="AH2185" i="16"/>
  <c r="AW48" i="18"/>
  <c r="AH2243" i="16"/>
  <c r="AJ1752" i="16"/>
  <c r="AH1504" i="16"/>
  <c r="AJ1504" i="16" s="1"/>
  <c r="AH2034" i="16"/>
  <c r="BD26" i="18" s="1"/>
  <c r="AJ1761" i="16"/>
  <c r="AH1754" i="16"/>
  <c r="AJ1754" i="16" s="1"/>
  <c r="AJ1748" i="16"/>
  <c r="AJ1405" i="16"/>
  <c r="AJ1079" i="16"/>
  <c r="AH1103" i="16"/>
  <c r="L2176" i="16"/>
  <c r="AA389" i="16"/>
  <c r="AH389" i="16"/>
  <c r="AJ389" i="16" s="1"/>
  <c r="AH478" i="16"/>
  <c r="AH374" i="16"/>
  <c r="AJ374" i="16" s="1"/>
  <c r="AJ540" i="16"/>
  <c r="AH542" i="16"/>
  <c r="AJ542" i="16" s="1"/>
  <c r="AA1477" i="16"/>
  <c r="AH1475" i="16"/>
  <c r="AA1447" i="16"/>
  <c r="AH1445" i="16"/>
  <c r="AH682" i="16"/>
  <c r="AJ396" i="16"/>
  <c r="AH404" i="16"/>
  <c r="AJ404" i="16" s="1"/>
  <c r="AJ304" i="16"/>
  <c r="AH306" i="16"/>
  <c r="AJ552" i="16"/>
  <c r="AH554" i="16"/>
  <c r="AJ554" i="16" s="1"/>
  <c r="AJ1439" i="16"/>
  <c r="AH1441" i="16"/>
  <c r="AJ1441" i="16" s="1"/>
  <c r="AJ650" i="16"/>
  <c r="AH1039" i="16"/>
  <c r="AJ1039" i="16" s="1"/>
  <c r="AJ672" i="16"/>
  <c r="AH674" i="16"/>
  <c r="AJ674" i="16" s="1"/>
  <c r="AA1371" i="16"/>
  <c r="AH1367" i="16"/>
  <c r="AA1459" i="16"/>
  <c r="AH1457" i="16"/>
  <c r="AH855" i="16"/>
  <c r="AH816" i="16"/>
  <c r="AJ816" i="16" s="1"/>
  <c r="AJ724" i="16"/>
  <c r="AH1289" i="16"/>
  <c r="AJ1289" i="16" s="1"/>
  <c r="AH633" i="16"/>
  <c r="AJ633" i="16" s="1"/>
  <c r="AJ575" i="16"/>
  <c r="AH212" i="16"/>
  <c r="AJ210" i="16"/>
  <c r="AH863" i="16"/>
  <c r="AJ863" i="16" s="1"/>
  <c r="AJ836" i="16"/>
  <c r="AA1345" i="16"/>
  <c r="AH1343" i="16"/>
  <c r="AJ1361" i="16"/>
  <c r="AH1363" i="16"/>
  <c r="AJ1363" i="16" s="1"/>
  <c r="AH451" i="16"/>
  <c r="AJ451" i="16" s="1"/>
  <c r="AH251" i="16"/>
  <c r="AH415" i="16"/>
  <c r="AH556" i="16"/>
  <c r="AJ556" i="16" s="1"/>
  <c r="AH203" i="16"/>
  <c r="AJ203" i="16" s="1"/>
  <c r="AH287" i="16"/>
  <c r="AJ287" i="16" s="1"/>
  <c r="AH439" i="16"/>
  <c r="AJ439" i="16" s="1"/>
  <c r="AW10" i="19"/>
  <c r="AW10" i="5" s="1"/>
  <c r="AH126" i="16"/>
  <c r="AH273" i="4"/>
  <c r="AA13" i="5"/>
  <c r="AA25" i="5"/>
  <c r="AA167" i="4"/>
  <c r="AH165" i="4"/>
  <c r="AH167" i="4" s="1"/>
  <c r="AA302" i="4"/>
  <c r="AH300" i="4"/>
  <c r="AH302" i="4" s="1"/>
  <c r="AA162" i="4"/>
  <c r="T20" i="19" s="1"/>
  <c r="T22" i="19" s="1"/>
  <c r="AH160" i="4"/>
  <c r="AH162" i="4" s="1"/>
  <c r="AH487" i="4"/>
  <c r="AA35" i="5"/>
  <c r="AA198" i="4"/>
  <c r="AH195" i="4"/>
  <c r="AH198" i="4" s="1"/>
  <c r="AA459" i="4"/>
  <c r="T34" i="18" s="1"/>
  <c r="AH443" i="4"/>
  <c r="AA544" i="4"/>
  <c r="T43" i="19" s="1"/>
  <c r="T43" i="5" s="1"/>
  <c r="AH535" i="4"/>
  <c r="AA213" i="4"/>
  <c r="AH210" i="4"/>
  <c r="AH440" i="4"/>
  <c r="AA307" i="4"/>
  <c r="AH305" i="4"/>
  <c r="AH307" i="4" s="1"/>
  <c r="AH565" i="4"/>
  <c r="AA48" i="5"/>
  <c r="AA337" i="4"/>
  <c r="AH333" i="4"/>
  <c r="AH337" i="4" s="1"/>
  <c r="AH324" i="4"/>
  <c r="AA187" i="4"/>
  <c r="T21" i="18" s="1"/>
  <c r="T21" i="5" s="1"/>
  <c r="AH183" i="4"/>
  <c r="AH109" i="4"/>
  <c r="AA330" i="4"/>
  <c r="AH327" i="4"/>
  <c r="AH330" i="4" s="1"/>
  <c r="AH291" i="4"/>
  <c r="AH402" i="4"/>
  <c r="AA365" i="4"/>
  <c r="AH359" i="4"/>
  <c r="AH365" i="4" s="1"/>
  <c r="AA373" i="4"/>
  <c r="AH368" i="4"/>
  <c r="AH373" i="4" s="1"/>
  <c r="AW46" i="5"/>
  <c r="AW31" i="5"/>
  <c r="T2178" i="16"/>
  <c r="AA402" i="4"/>
  <c r="T29" i="17"/>
  <c r="AA487" i="4"/>
  <c r="T35" i="18"/>
  <c r="AA157" i="4"/>
  <c r="T20" i="18"/>
  <c r="T34" i="5"/>
  <c r="T18" i="19"/>
  <c r="AA109" i="4"/>
  <c r="T14" i="18"/>
  <c r="T14" i="5" s="1"/>
  <c r="T24" i="19"/>
  <c r="T46" i="5"/>
  <c r="AA440" i="4"/>
  <c r="T33" i="18"/>
  <c r="AA273" i="4"/>
  <c r="T25" i="18"/>
  <c r="T8" i="5"/>
  <c r="T16" i="5"/>
  <c r="T13" i="5"/>
  <c r="AW9" i="19"/>
  <c r="AW9" i="5" s="1"/>
  <c r="AW26" i="5"/>
  <c r="AW25" i="18"/>
  <c r="AW18" i="17"/>
  <c r="AG49" i="5"/>
  <c r="AH46" i="5"/>
  <c r="AH48" i="5"/>
  <c r="AF49" i="5"/>
  <c r="AF50" i="17"/>
  <c r="AA1363" i="16"/>
  <c r="AA1441" i="16"/>
  <c r="AA2234" i="16"/>
  <c r="AW34" i="18" s="1"/>
  <c r="AW34" i="5" s="1"/>
  <c r="AA1039" i="16"/>
  <c r="AA203" i="16"/>
  <c r="AA404" i="16"/>
  <c r="AA251" i="16"/>
  <c r="AA542" i="16"/>
  <c r="AA415" i="16"/>
  <c r="AA863" i="16"/>
  <c r="AA212" i="16"/>
  <c r="AA816" i="16"/>
  <c r="AA374" i="16"/>
  <c r="AA554" i="16"/>
  <c r="AA478" i="16"/>
  <c r="AA1289" i="16"/>
  <c r="AA1530" i="16"/>
  <c r="AA439" i="16"/>
  <c r="AA353" i="16"/>
  <c r="AA287" i="16"/>
  <c r="AA674" i="16"/>
  <c r="T2234" i="16"/>
  <c r="AP34" i="18" s="1"/>
  <c r="AP34" i="5" s="1"/>
  <c r="AA175" i="16"/>
  <c r="AP49" i="18"/>
  <c r="AP49" i="5" s="1"/>
  <c r="AP46" i="5"/>
  <c r="AP18" i="19"/>
  <c r="AA1103" i="16"/>
  <c r="AA1242" i="16" s="1"/>
  <c r="AA633" i="16"/>
  <c r="AA2187" i="16"/>
  <c r="AA2203" i="16"/>
  <c r="AA2288" i="16"/>
  <c r="T566" i="16"/>
  <c r="T568" i="16" s="1"/>
  <c r="AA564" i="16"/>
  <c r="AH564" i="16" s="1"/>
  <c r="AH566" i="16" s="1"/>
  <c r="AP8" i="18"/>
  <c r="AP8" i="5" s="1"/>
  <c r="AA134" i="16"/>
  <c r="AH134" i="16" s="1"/>
  <c r="AA128" i="16"/>
  <c r="AA380" i="4"/>
  <c r="AA291" i="4"/>
  <c r="AA279" i="4"/>
  <c r="AA538" i="4"/>
  <c r="AA297" i="4"/>
  <c r="AA309" i="4" s="1"/>
  <c r="T98" i="4"/>
  <c r="AA89" i="4"/>
  <c r="AA324" i="4"/>
  <c r="T567" i="4"/>
  <c r="T571" i="4" s="1"/>
  <c r="AA550" i="4"/>
  <c r="T133" i="4"/>
  <c r="AP31" i="5"/>
  <c r="AP18" i="17"/>
  <c r="AP44" i="17" s="1"/>
  <c r="AP10" i="5"/>
  <c r="AP26" i="5"/>
  <c r="AP9" i="5"/>
  <c r="M16" i="5"/>
  <c r="M8" i="5"/>
  <c r="M46" i="5"/>
  <c r="M11" i="5"/>
  <c r="M15" i="5"/>
  <c r="M13" i="5"/>
  <c r="M18" i="19"/>
  <c r="M9" i="5"/>
  <c r="M48" i="5"/>
  <c r="T167" i="4"/>
  <c r="T440" i="4"/>
  <c r="M33" i="18"/>
  <c r="T307" i="4"/>
  <c r="T273" i="4"/>
  <c r="M25" i="18"/>
  <c r="T337" i="4"/>
  <c r="T187" i="4"/>
  <c r="T277" i="4" s="1"/>
  <c r="T552" i="4"/>
  <c r="M45" i="18"/>
  <c r="T297" i="4"/>
  <c r="T213" i="4"/>
  <c r="T330" i="4"/>
  <c r="T302" i="4"/>
  <c r="T162" i="4"/>
  <c r="M24" i="19"/>
  <c r="T544" i="4"/>
  <c r="T546" i="4" s="1"/>
  <c r="M43" i="18"/>
  <c r="E32" i="17"/>
  <c r="E44" i="17" s="1"/>
  <c r="T291" i="4"/>
  <c r="M29" i="17"/>
  <c r="T487" i="4"/>
  <c r="M35" i="18"/>
  <c r="T198" i="4"/>
  <c r="T261" i="4" s="1"/>
  <c r="T365" i="4"/>
  <c r="T373" i="4"/>
  <c r="T157" i="4"/>
  <c r="M20" i="18"/>
  <c r="T459" i="4"/>
  <c r="M34" i="18" s="1"/>
  <c r="M24" i="18"/>
  <c r="AP25" i="5"/>
  <c r="M18" i="18"/>
  <c r="T2249" i="16"/>
  <c r="T863" i="16"/>
  <c r="T2201" i="16"/>
  <c r="T2207" i="16"/>
  <c r="L309" i="4"/>
  <c r="E20" i="19"/>
  <c r="E22" i="19" s="1"/>
  <c r="E28" i="19" s="1"/>
  <c r="E33" i="5"/>
  <c r="T279" i="4"/>
  <c r="L169" i="4"/>
  <c r="L191" i="4" s="1"/>
  <c r="E35" i="5"/>
  <c r="T538" i="4"/>
  <c r="T402" i="4"/>
  <c r="L380" i="4"/>
  <c r="T324" i="4"/>
  <c r="T2288" i="16"/>
  <c r="T173" i="16"/>
  <c r="T374" i="16"/>
  <c r="T451" i="16"/>
  <c r="T554" i="16"/>
  <c r="T542" i="16"/>
  <c r="T439" i="16"/>
  <c r="T676" i="16"/>
  <c r="N556" i="16"/>
  <c r="N1242" i="16" s="1"/>
  <c r="T212" i="16"/>
  <c r="T389" i="16"/>
  <c r="T1039" i="16"/>
  <c r="T251" i="16"/>
  <c r="T415" i="16"/>
  <c r="T287" i="16"/>
  <c r="T633" i="16"/>
  <c r="T1289" i="16"/>
  <c r="T478" i="16"/>
  <c r="T353" i="16"/>
  <c r="T1103" i="16"/>
  <c r="T203" i="16"/>
  <c r="L439" i="16"/>
  <c r="T1550" i="16"/>
  <c r="T1530" i="16"/>
  <c r="E29" i="18"/>
  <c r="D41" i="5"/>
  <c r="D42" i="5" s="1"/>
  <c r="C32" i="18"/>
  <c r="C32" i="5" s="1"/>
  <c r="E8" i="5"/>
  <c r="E18" i="18"/>
  <c r="L2207" i="16"/>
  <c r="AH31" i="5"/>
  <c r="L389" i="16"/>
  <c r="L374" i="16"/>
  <c r="L1039" i="16"/>
  <c r="L478" i="16"/>
  <c r="L863" i="16"/>
  <c r="L203" i="16"/>
  <c r="L251" i="16"/>
  <c r="L353" i="16"/>
  <c r="L212" i="16"/>
  <c r="AH9" i="5"/>
  <c r="L2234" i="16"/>
  <c r="AH34" i="18" s="1"/>
  <c r="E24" i="18"/>
  <c r="E24" i="5" s="1"/>
  <c r="D37" i="18"/>
  <c r="D43" i="5"/>
  <c r="L577" i="4"/>
  <c r="E41" i="18"/>
  <c r="E41" i="5" s="1"/>
  <c r="L520" i="4"/>
  <c r="C28" i="18"/>
  <c r="L273" i="4"/>
  <c r="L277" i="4"/>
  <c r="L524" i="4"/>
  <c r="C39" i="5"/>
  <c r="K528" i="4"/>
  <c r="K579" i="4" s="1"/>
  <c r="L261" i="4"/>
  <c r="E43" i="18"/>
  <c r="L546" i="4"/>
  <c r="L133" i="4"/>
  <c r="L137" i="4" s="1"/>
  <c r="E13" i="5"/>
  <c r="AG29" i="19"/>
  <c r="K1238" i="16"/>
  <c r="K2055" i="16"/>
  <c r="K2292" i="16" s="1"/>
  <c r="J1403" i="16"/>
  <c r="K1407" i="16"/>
  <c r="K1403" i="16" s="1"/>
  <c r="AH10" i="5"/>
  <c r="E49" i="18"/>
  <c r="E49" i="5" s="1"/>
  <c r="L355" i="4"/>
  <c r="J528" i="4"/>
  <c r="C22" i="19"/>
  <c r="C28" i="19" s="1"/>
  <c r="L556" i="16"/>
  <c r="AF23" i="18"/>
  <c r="AF23" i="5" s="1"/>
  <c r="L1240" i="16"/>
  <c r="L2055" i="16" s="1"/>
  <c r="L2292" i="16" s="1"/>
  <c r="L1550" i="16"/>
  <c r="L1546" i="16" s="1"/>
  <c r="AH23" i="18" s="1"/>
  <c r="AH23" i="5" s="1"/>
  <c r="L287" i="16"/>
  <c r="K2178" i="16"/>
  <c r="AH18" i="17"/>
  <c r="AH44" i="17" s="1"/>
  <c r="L676" i="16"/>
  <c r="L1289" i="16"/>
  <c r="D44" i="19"/>
  <c r="D50" i="19" s="1"/>
  <c r="J382" i="4"/>
  <c r="J408" i="4" s="1"/>
  <c r="J404" i="4" s="1"/>
  <c r="C29" i="5"/>
  <c r="J191" i="4"/>
  <c r="J281" i="4" s="1"/>
  <c r="L1530" i="16"/>
  <c r="J406" i="16"/>
  <c r="AG25" i="5"/>
  <c r="L1103" i="16"/>
  <c r="AF25" i="5"/>
  <c r="L633" i="16"/>
  <c r="AH25" i="5"/>
  <c r="AH26" i="5"/>
  <c r="K575" i="4"/>
  <c r="C38" i="5"/>
  <c r="C42" i="19"/>
  <c r="C18" i="5"/>
  <c r="E37" i="18"/>
  <c r="D26" i="18"/>
  <c r="D25" i="5"/>
  <c r="E21" i="5"/>
  <c r="E22" i="18"/>
  <c r="L497" i="4"/>
  <c r="E38" i="5"/>
  <c r="E42" i="19"/>
  <c r="C44" i="17"/>
  <c r="E25" i="18"/>
  <c r="C37" i="18"/>
  <c r="C33" i="5"/>
  <c r="C37" i="5" s="1"/>
  <c r="L173" i="16"/>
  <c r="L177" i="16" s="1"/>
  <c r="L2201" i="16"/>
  <c r="AF8" i="5"/>
  <c r="AH18" i="18"/>
  <c r="AH18" i="19"/>
  <c r="AH29" i="19"/>
  <c r="L2178" i="16"/>
  <c r="AF18" i="5"/>
  <c r="AH49" i="18"/>
  <c r="AF20" i="19"/>
  <c r="AF44" i="19" s="1"/>
  <c r="AF50" i="19" s="1"/>
  <c r="AG18" i="5"/>
  <c r="AG50" i="17"/>
  <c r="BD44" i="18" l="1"/>
  <c r="BF26" i="18"/>
  <c r="AJ2243" i="16"/>
  <c r="AH2247" i="16"/>
  <c r="AJ2247" i="16" s="1"/>
  <c r="AW49" i="18"/>
  <c r="AW49" i="5" s="1"/>
  <c r="BD26" i="5"/>
  <c r="BF26" i="5" s="1"/>
  <c r="AJ2034" i="16"/>
  <c r="AW48" i="5"/>
  <c r="BD48" i="5"/>
  <c r="AJ2071" i="16"/>
  <c r="AH1530" i="16"/>
  <c r="AJ1530" i="16" s="1"/>
  <c r="BD31" i="5"/>
  <c r="AH2187" i="16"/>
  <c r="AH2201" i="16" s="1"/>
  <c r="AJ2201" i="16" s="1"/>
  <c r="AH2203" i="16"/>
  <c r="AH2207" i="16" s="1"/>
  <c r="BD46" i="5"/>
  <c r="AH2249" i="16"/>
  <c r="AJ2249" i="16" s="1"/>
  <c r="BD25" i="5"/>
  <c r="BF25" i="5" s="1"/>
  <c r="AJ1750" i="16"/>
  <c r="AH1240" i="16"/>
  <c r="AJ1103" i="16"/>
  <c r="AH568" i="16"/>
  <c r="AJ568" i="16" s="1"/>
  <c r="AJ566" i="16"/>
  <c r="AH1477" i="16"/>
  <c r="AJ1457" i="16"/>
  <c r="AH1459" i="16"/>
  <c r="AJ1459" i="16" s="1"/>
  <c r="AH676" i="16"/>
  <c r="AJ676" i="16" s="1"/>
  <c r="AH1447" i="16"/>
  <c r="AH1345" i="16"/>
  <c r="AH1371" i="16"/>
  <c r="AJ1371" i="16" s="1"/>
  <c r="AJ306" i="16"/>
  <c r="AH353" i="16"/>
  <c r="AH406" i="16" s="1"/>
  <c r="AJ406" i="16" s="1"/>
  <c r="AH175" i="16"/>
  <c r="AH128" i="16"/>
  <c r="AA277" i="4"/>
  <c r="AA189" i="4"/>
  <c r="AH459" i="4"/>
  <c r="AA497" i="4"/>
  <c r="AA20" i="5"/>
  <c r="AA546" i="4"/>
  <c r="AA577" i="4"/>
  <c r="AA169" i="4"/>
  <c r="AA191" i="4" s="1"/>
  <c r="AA261" i="4"/>
  <c r="AH169" i="4"/>
  <c r="AA355" i="4"/>
  <c r="AA382" i="4" s="1"/>
  <c r="AA408" i="4" s="1"/>
  <c r="AA404" i="4" s="1"/>
  <c r="AH544" i="4"/>
  <c r="AH538" i="4"/>
  <c r="AA33" i="5"/>
  <c r="AH213" i="4"/>
  <c r="AH261" i="4" s="1"/>
  <c r="AH309" i="4"/>
  <c r="T45" i="18"/>
  <c r="AH550" i="4"/>
  <c r="AH355" i="4"/>
  <c r="AA98" i="4"/>
  <c r="AH89" i="4"/>
  <c r="AH380" i="4"/>
  <c r="AH573" i="4"/>
  <c r="AJ573" i="4" s="1"/>
  <c r="AH133" i="4"/>
  <c r="AH137" i="4" s="1"/>
  <c r="AH187" i="4"/>
  <c r="AH139" i="16"/>
  <c r="T309" i="4"/>
  <c r="AA133" i="4"/>
  <c r="AA137" i="4" s="1"/>
  <c r="T33" i="5"/>
  <c r="T37" i="18"/>
  <c r="T28" i="19"/>
  <c r="T32" i="17"/>
  <c r="AA573" i="4"/>
  <c r="T24" i="5"/>
  <c r="T35" i="5"/>
  <c r="AA524" i="4"/>
  <c r="AA528" i="4"/>
  <c r="T26" i="18"/>
  <c r="T25" i="5"/>
  <c r="T45" i="5"/>
  <c r="T49" i="18"/>
  <c r="T15" i="18"/>
  <c r="T15" i="5" s="1"/>
  <c r="T44" i="19"/>
  <c r="T20" i="5"/>
  <c r="T22" i="18"/>
  <c r="T29" i="18"/>
  <c r="AA139" i="16"/>
  <c r="AW8" i="18"/>
  <c r="AW44" i="17"/>
  <c r="AW25" i="5"/>
  <c r="AW18" i="19"/>
  <c r="AG29" i="5"/>
  <c r="AH29" i="5"/>
  <c r="AH34" i="5"/>
  <c r="AH49" i="5"/>
  <c r="AH50" i="17"/>
  <c r="AA2176" i="16"/>
  <c r="AA1550" i="16"/>
  <c r="AA2207" i="16"/>
  <c r="AA2201" i="16"/>
  <c r="AA2249" i="16"/>
  <c r="AA1407" i="16"/>
  <c r="T169" i="4"/>
  <c r="T497" i="4"/>
  <c r="T524" i="4" s="1"/>
  <c r="AA556" i="16"/>
  <c r="AA406" i="16"/>
  <c r="AA676" i="16"/>
  <c r="AA1240" i="16"/>
  <c r="AW20" i="19" s="1"/>
  <c r="AA566" i="16"/>
  <c r="T1240" i="16"/>
  <c r="AP20" i="19" s="1"/>
  <c r="AP18" i="18"/>
  <c r="AP18" i="5" s="1"/>
  <c r="AA552" i="4"/>
  <c r="AA567" i="4"/>
  <c r="M18" i="5"/>
  <c r="AP50" i="17"/>
  <c r="M35" i="5"/>
  <c r="M24" i="5"/>
  <c r="T355" i="4"/>
  <c r="T573" i="4"/>
  <c r="M32" i="17"/>
  <c r="M44" i="17" s="1"/>
  <c r="M21" i="18"/>
  <c r="M26" i="18"/>
  <c r="M25" i="5"/>
  <c r="T380" i="4"/>
  <c r="M45" i="5"/>
  <c r="M49" i="18"/>
  <c r="T577" i="4"/>
  <c r="M20" i="19"/>
  <c r="M34" i="5"/>
  <c r="M43" i="19"/>
  <c r="T189" i="4"/>
  <c r="M33" i="5"/>
  <c r="M29" i="18"/>
  <c r="T137" i="4"/>
  <c r="T2176" i="16"/>
  <c r="AP29" i="19" s="1"/>
  <c r="T528" i="4"/>
  <c r="E20" i="5"/>
  <c r="E37" i="5"/>
  <c r="C28" i="5"/>
  <c r="C44" i="18"/>
  <c r="C50" i="18" s="1"/>
  <c r="T1546" i="16"/>
  <c r="AP23" i="18" s="1"/>
  <c r="T406" i="16"/>
  <c r="T177" i="16"/>
  <c r="M556" i="16"/>
  <c r="M1242" i="16" s="1"/>
  <c r="N2055" i="16"/>
  <c r="N2292" i="16" s="1"/>
  <c r="T1407" i="16"/>
  <c r="T1403" i="16" s="1"/>
  <c r="AP21" i="18" s="1"/>
  <c r="N2057" i="16"/>
  <c r="N2294" i="16" s="1"/>
  <c r="C42" i="5"/>
  <c r="E42" i="18"/>
  <c r="E43" i="5"/>
  <c r="E18" i="5"/>
  <c r="E42" i="5"/>
  <c r="L406" i="16"/>
  <c r="L1242" i="16" s="1"/>
  <c r="L1238" i="16" s="1"/>
  <c r="AH20" i="18" s="1"/>
  <c r="L281" i="4"/>
  <c r="L528" i="4"/>
  <c r="AG44" i="19"/>
  <c r="AG50" i="19" s="1"/>
  <c r="AG21" i="18"/>
  <c r="K2053" i="16"/>
  <c r="K2290" i="16" s="1"/>
  <c r="AF21" i="18"/>
  <c r="K2057" i="16"/>
  <c r="K2294" i="16" s="1"/>
  <c r="L1407" i="16"/>
  <c r="L1403" i="16" s="1"/>
  <c r="J575" i="4"/>
  <c r="L382" i="4"/>
  <c r="L408" i="4" s="1"/>
  <c r="L404" i="4" s="1"/>
  <c r="L575" i="4" s="1"/>
  <c r="E32" i="18"/>
  <c r="E32" i="5" s="1"/>
  <c r="C22" i="5"/>
  <c r="C44" i="19"/>
  <c r="C50" i="19" s="1"/>
  <c r="J1242" i="16"/>
  <c r="AG23" i="18"/>
  <c r="AG23" i="5" s="1"/>
  <c r="AH8" i="5"/>
  <c r="E44" i="19"/>
  <c r="E50" i="19" s="1"/>
  <c r="J579" i="4"/>
  <c r="E22" i="5"/>
  <c r="AH20" i="19"/>
  <c r="AH44" i="19" s="1"/>
  <c r="AH50" i="19" s="1"/>
  <c r="C50" i="17"/>
  <c r="D28" i="18"/>
  <c r="D26" i="5"/>
  <c r="E50" i="17"/>
  <c r="E26" i="18"/>
  <c r="E25" i="5"/>
  <c r="AH18" i="5"/>
  <c r="AG26" i="5"/>
  <c r="BD50" i="18" l="1"/>
  <c r="BF50" i="18" s="1"/>
  <c r="BF44" i="18"/>
  <c r="AJ2178" i="16"/>
  <c r="BD49" i="5"/>
  <c r="AH1242" i="16"/>
  <c r="AH1407" i="16"/>
  <c r="AJ1240" i="16"/>
  <c r="AH2055" i="16"/>
  <c r="AH1550" i="16"/>
  <c r="AH497" i="4"/>
  <c r="AA34" i="5"/>
  <c r="AA37" i="5"/>
  <c r="AA281" i="4"/>
  <c r="AA32" i="5"/>
  <c r="AH577" i="4"/>
  <c r="AJ577" i="4" s="1"/>
  <c r="AH382" i="4"/>
  <c r="AH408" i="4" s="1"/>
  <c r="AH404" i="4" s="1"/>
  <c r="AH552" i="4"/>
  <c r="AH571" i="4"/>
  <c r="AJ571" i="4" s="1"/>
  <c r="AA24" i="5"/>
  <c r="AH546" i="4"/>
  <c r="AA43" i="5"/>
  <c r="AA29" i="5"/>
  <c r="AA575" i="4"/>
  <c r="AH98" i="4"/>
  <c r="AH189" i="4"/>
  <c r="AH191" i="4" s="1"/>
  <c r="T18" i="18"/>
  <c r="T37" i="5"/>
  <c r="T32" i="18"/>
  <c r="T32" i="5" s="1"/>
  <c r="T22" i="5"/>
  <c r="T44" i="17"/>
  <c r="T49" i="5"/>
  <c r="T26" i="5"/>
  <c r="T28" i="18"/>
  <c r="T29" i="5"/>
  <c r="T50" i="19"/>
  <c r="AW29" i="19"/>
  <c r="AW44" i="19" s="1"/>
  <c r="AA173" i="16"/>
  <c r="AW50" i="17"/>
  <c r="AA1546" i="16"/>
  <c r="AW18" i="18"/>
  <c r="AW8" i="5"/>
  <c r="T18" i="5"/>
  <c r="AA2055" i="16"/>
  <c r="AA1403" i="16"/>
  <c r="AA568" i="16"/>
  <c r="AP44" i="19"/>
  <c r="AP50" i="19" s="1"/>
  <c r="AA571" i="4"/>
  <c r="AA579" i="4" s="1"/>
  <c r="AP29" i="5"/>
  <c r="AP21" i="5"/>
  <c r="AP23" i="5"/>
  <c r="M32" i="18"/>
  <c r="M32" i="5" s="1"/>
  <c r="M43" i="5"/>
  <c r="M49" i="5"/>
  <c r="M21" i="5"/>
  <c r="M22" i="19"/>
  <c r="M22" i="18"/>
  <c r="T191" i="4"/>
  <c r="M37" i="5"/>
  <c r="M29" i="5"/>
  <c r="M37" i="18"/>
  <c r="M20" i="5"/>
  <c r="M26" i="5"/>
  <c r="T382" i="4"/>
  <c r="N1238" i="16"/>
  <c r="M2055" i="16"/>
  <c r="M2292" i="16" s="1"/>
  <c r="AI20" i="19"/>
  <c r="AI44" i="19" s="1"/>
  <c r="AI50" i="19" s="1"/>
  <c r="M1238" i="16"/>
  <c r="M2057" i="16"/>
  <c r="M2294" i="16" s="1"/>
  <c r="O2055" i="16"/>
  <c r="O2292" i="16" s="1"/>
  <c r="O556" i="16"/>
  <c r="O1242" i="16" s="1"/>
  <c r="AF21" i="5"/>
  <c r="AH21" i="18"/>
  <c r="L2053" i="16"/>
  <c r="L2290" i="16" s="1"/>
  <c r="AG21" i="5"/>
  <c r="AG44" i="18"/>
  <c r="L579" i="4"/>
  <c r="E29" i="5"/>
  <c r="C50" i="5"/>
  <c r="C44" i="5"/>
  <c r="L2057" i="16"/>
  <c r="L2294" i="16" s="1"/>
  <c r="J1238" i="16"/>
  <c r="J2057" i="16"/>
  <c r="J2294" i="16" s="1"/>
  <c r="E26" i="5"/>
  <c r="E28" i="18"/>
  <c r="E44" i="18" s="1"/>
  <c r="D28" i="5"/>
  <c r="D44" i="18"/>
  <c r="AH20" i="5"/>
  <c r="BD29" i="5" l="1"/>
  <c r="AJ2176" i="16"/>
  <c r="AH2292" i="16"/>
  <c r="AJ2292" i="16" s="1"/>
  <c r="AJ2055" i="16"/>
  <c r="AH1546" i="16"/>
  <c r="AJ1550" i="16"/>
  <c r="AH1403" i="16"/>
  <c r="AJ1407" i="16"/>
  <c r="AH1238" i="16"/>
  <c r="AJ1242" i="16"/>
  <c r="AH2057" i="16"/>
  <c r="AJ2057" i="16" s="1"/>
  <c r="AH579" i="4"/>
  <c r="AJ579" i="4" s="1"/>
  <c r="AH575" i="4"/>
  <c r="AJ575" i="4" s="1"/>
  <c r="AA45" i="5"/>
  <c r="AA49" i="5"/>
  <c r="AA15" i="5"/>
  <c r="AA18" i="5"/>
  <c r="AC18" i="5" s="1"/>
  <c r="AA21" i="5"/>
  <c r="T44" i="18"/>
  <c r="T50" i="18" s="1"/>
  <c r="T28" i="5"/>
  <c r="T50" i="17"/>
  <c r="AW29" i="5"/>
  <c r="AW21" i="18"/>
  <c r="AA177" i="16"/>
  <c r="AW23" i="18"/>
  <c r="AW18" i="5"/>
  <c r="AW50" i="19"/>
  <c r="AA2292" i="16"/>
  <c r="N2053" i="16"/>
  <c r="N2290" i="16" s="1"/>
  <c r="AJ20" i="18"/>
  <c r="M28" i="18"/>
  <c r="M44" i="18" s="1"/>
  <c r="M50" i="18" s="1"/>
  <c r="M50" i="17"/>
  <c r="M22" i="5"/>
  <c r="M28" i="19"/>
  <c r="T281" i="4"/>
  <c r="T408" i="4"/>
  <c r="Q2055" i="16"/>
  <c r="Q2292" i="16" s="1"/>
  <c r="Q556" i="16"/>
  <c r="Q1242" i="16" s="1"/>
  <c r="Q1238" i="16" s="1"/>
  <c r="AI20" i="18"/>
  <c r="M2053" i="16"/>
  <c r="M2290" i="16" s="1"/>
  <c r="R556" i="16"/>
  <c r="R1242" i="16" s="1"/>
  <c r="R1238" i="16" s="1"/>
  <c r="AN20" i="18" s="1"/>
  <c r="P556" i="16"/>
  <c r="P1242" i="16" s="1"/>
  <c r="P2055" i="16"/>
  <c r="P2292" i="16" s="1"/>
  <c r="O1238" i="16"/>
  <c r="O2057" i="16"/>
  <c r="O2294" i="16" s="1"/>
  <c r="AF20" i="18"/>
  <c r="J2053" i="16"/>
  <c r="J2290" i="16" s="1"/>
  <c r="AH21" i="5"/>
  <c r="AH44" i="18"/>
  <c r="D44" i="5"/>
  <c r="D50" i="18"/>
  <c r="D50" i="5" s="1"/>
  <c r="E28" i="5"/>
  <c r="AG50" i="18"/>
  <c r="AG44" i="5"/>
  <c r="AH2053" i="16" l="1"/>
  <c r="AJ2053" i="16" s="1"/>
  <c r="BD23" i="5"/>
  <c r="AJ1546" i="16"/>
  <c r="BD21" i="5"/>
  <c r="AJ1403" i="16"/>
  <c r="BD20" i="5"/>
  <c r="AJ1238" i="16"/>
  <c r="T44" i="5"/>
  <c r="AA22" i="5"/>
  <c r="AW23" i="5"/>
  <c r="AW21" i="5"/>
  <c r="T50" i="5"/>
  <c r="AG50" i="5"/>
  <c r="AI20" i="5"/>
  <c r="AF44" i="18"/>
  <c r="AF50" i="18" s="1"/>
  <c r="AH50" i="18"/>
  <c r="AA2057" i="16"/>
  <c r="AA1238" i="16"/>
  <c r="AW20" i="18" s="1"/>
  <c r="M28" i="5"/>
  <c r="AN20" i="5"/>
  <c r="AN44" i="18"/>
  <c r="AJ20" i="5"/>
  <c r="AJ44" i="18"/>
  <c r="M44" i="19"/>
  <c r="T404" i="4"/>
  <c r="T579" i="4"/>
  <c r="O2053" i="16"/>
  <c r="O2290" i="16" s="1"/>
  <c r="AK20" i="18"/>
  <c r="R2055" i="16"/>
  <c r="R2292" i="16" s="1"/>
  <c r="AI44" i="18"/>
  <c r="P1238" i="16"/>
  <c r="P2057" i="16"/>
  <c r="P2294" i="16" s="1"/>
  <c r="R2057" i="16"/>
  <c r="R2294" i="16" s="1"/>
  <c r="Q2057" i="16"/>
  <c r="Q2294" i="16" s="1"/>
  <c r="AF20" i="5"/>
  <c r="AH44" i="5"/>
  <c r="E50" i="18"/>
  <c r="E50" i="5" s="1"/>
  <c r="E44" i="5"/>
  <c r="AA28" i="5" l="1"/>
  <c r="AW20" i="5"/>
  <c r="AW44" i="18"/>
  <c r="AH50" i="5"/>
  <c r="AF50" i="5"/>
  <c r="AI44" i="5"/>
  <c r="AF44" i="5"/>
  <c r="AA2294" i="16"/>
  <c r="AA2053" i="16"/>
  <c r="AJ50" i="18"/>
  <c r="AJ44" i="5"/>
  <c r="AN50" i="18"/>
  <c r="AN50" i="5" s="1"/>
  <c r="AN44" i="5"/>
  <c r="M50" i="19"/>
  <c r="M44" i="5"/>
  <c r="T575" i="4"/>
  <c r="P2053" i="16"/>
  <c r="P2290" i="16" s="1"/>
  <c r="AL20" i="18"/>
  <c r="AK20" i="5"/>
  <c r="AK44" i="18"/>
  <c r="Q2053" i="16"/>
  <c r="Q2290" i="16" s="1"/>
  <c r="AM20" i="18"/>
  <c r="AI50" i="18"/>
  <c r="T556" i="16"/>
  <c r="T1242" i="16" s="1"/>
  <c r="T1238" i="16" s="1"/>
  <c r="S556" i="16"/>
  <c r="S1242" i="16" s="1"/>
  <c r="S1238" i="16" s="1"/>
  <c r="R2053" i="16"/>
  <c r="R2290" i="16" s="1"/>
  <c r="AA50" i="5" l="1"/>
  <c r="AC50" i="5" s="1"/>
  <c r="AA44" i="5"/>
  <c r="AC44" i="5" s="1"/>
  <c r="AW50" i="18"/>
  <c r="AW44" i="5"/>
  <c r="AI50" i="5"/>
  <c r="AJ50" i="5"/>
  <c r="AA2290" i="16"/>
  <c r="M50" i="5"/>
  <c r="AL20" i="5"/>
  <c r="AL44" i="18"/>
  <c r="AK50" i="18"/>
  <c r="AK44" i="5"/>
  <c r="AM20" i="5"/>
  <c r="AM44" i="18"/>
  <c r="AP20" i="18"/>
  <c r="T2057" i="16"/>
  <c r="S2055" i="16"/>
  <c r="S2292" i="16" s="1"/>
  <c r="T2055" i="16"/>
  <c r="T2292" i="16" s="1"/>
  <c r="AO20" i="18"/>
  <c r="S2057" i="16"/>
  <c r="S2294" i="16" s="1"/>
  <c r="AW50" i="5" l="1"/>
  <c r="AK50" i="5"/>
  <c r="AL50" i="18"/>
  <c r="AL44" i="5"/>
  <c r="AO20" i="5"/>
  <c r="AO44" i="18"/>
  <c r="AP20" i="5"/>
  <c r="AP44" i="18"/>
  <c r="AM44" i="5"/>
  <c r="AM50" i="18"/>
  <c r="AM50" i="5" s="1"/>
  <c r="T2294" i="16"/>
  <c r="T2053" i="16"/>
  <c r="S2053" i="16"/>
  <c r="S2290" i="16" s="1"/>
  <c r="AL50" i="5" l="1"/>
  <c r="AP50" i="18"/>
  <c r="AP44" i="5"/>
  <c r="AO50" i="18"/>
  <c r="AO50" i="5" s="1"/>
  <c r="AO44" i="5"/>
  <c r="T2290" i="16"/>
  <c r="AP50" i="5" l="1"/>
  <c r="AH92" i="16"/>
  <c r="AH96" i="16"/>
  <c r="BD9" i="5" s="1"/>
  <c r="AH94" i="16"/>
  <c r="BC9" i="5"/>
  <c r="AH93" i="16"/>
  <c r="AG99" i="16"/>
  <c r="AG173" i="16" s="1"/>
  <c r="AH97" i="16"/>
  <c r="BD10" i="5" s="1"/>
  <c r="BC10" i="5"/>
  <c r="BD8" i="5" l="1"/>
  <c r="AH99" i="16"/>
  <c r="AG2290" i="16"/>
  <c r="AG177" i="16"/>
  <c r="AG2294" i="16" s="1"/>
  <c r="BC8" i="5"/>
  <c r="BC18" i="5" l="1"/>
  <c r="AH173" i="16"/>
  <c r="AH2290" i="16" s="1"/>
  <c r="AJ2290" i="16" s="1"/>
  <c r="BC44" i="5"/>
  <c r="BC50" i="5"/>
  <c r="BD18" i="5" l="1"/>
  <c r="AH177" i="16"/>
  <c r="AH2294" i="16" s="1"/>
  <c r="AJ2294" i="16" s="1"/>
  <c r="BD44" i="5"/>
  <c r="BF44" i="5" s="1"/>
  <c r="BD50" i="5"/>
  <c r="BF50" i="5" s="1"/>
</calcChain>
</file>

<file path=xl/sharedStrings.xml><?xml version="1.0" encoding="utf-8"?>
<sst xmlns="http://schemas.openxmlformats.org/spreadsheetml/2006/main" count="3490" uniqueCount="728">
  <si>
    <t>Önkormányzat közhatalmi bevételek</t>
  </si>
  <si>
    <t>Önkormányzat tárgyi eszközök, immateriális javak értékesítése</t>
  </si>
  <si>
    <t>Önkormányzat vagyonnal kapcsolatos kiadásai</t>
  </si>
  <si>
    <t>Önkormányzat felújítási kiadásai</t>
  </si>
  <si>
    <t>Önkormányzat nagyberuházások kiadásai</t>
  </si>
  <si>
    <t>Önkormányzat kis- és középberuházások kiadásai</t>
  </si>
  <si>
    <t>Finanszírozási célú bevételek</t>
  </si>
  <si>
    <t>Finanszírozási célú kiadások</t>
  </si>
  <si>
    <t>EVAT kezelésében lévő önkormányzati vagyonhoz kapcsolódó tartalék</t>
  </si>
  <si>
    <t>Továbbszámlázott szolgáltatás</t>
  </si>
  <si>
    <t>Önkormányzati lakások lakbérbevétele</t>
  </si>
  <si>
    <t>Gépjárműadó</t>
  </si>
  <si>
    <t>Tartalékok</t>
  </si>
  <si>
    <t>Önkormányzati Tervtanács</t>
  </si>
  <si>
    <t>Temetési szolgáltatás</t>
  </si>
  <si>
    <t>Általános tartalék</t>
  </si>
  <si>
    <t>Polgármesteri céltartalék</t>
  </si>
  <si>
    <t>Dolgozók lakáskölcsön törlesztés</t>
  </si>
  <si>
    <t>Számlapénz és pénzügyi műveletek kamata</t>
  </si>
  <si>
    <t>Eltérő közterülethasználat díja</t>
  </si>
  <si>
    <t>Önkormányzati költségvetési szervek bevételei összesen:</t>
  </si>
  <si>
    <t>Önkormányzati költségvetési szervek kiadásai összesen:</t>
  </si>
  <si>
    <t>Közvilágítás áramdíja</t>
  </si>
  <si>
    <t>Közúti forgalomirányító lámpák üzemeltetése</t>
  </si>
  <si>
    <t>BEVÉTELEK ÖSSZESEN</t>
  </si>
  <si>
    <t>Közterülethasználati díj</t>
  </si>
  <si>
    <t>Benedek Elek Óvoda</t>
  </si>
  <si>
    <t>Alapítványok és civil szervezetek támogatása</t>
  </si>
  <si>
    <t>Fiatalok lakáshozjutási kölcsöne</t>
  </si>
  <si>
    <t>Egyéb városüzemeltetési feladatok</t>
  </si>
  <si>
    <t>Eger Megyei Jogú Város Önkormányzata</t>
  </si>
  <si>
    <t>Felhalmozási célra nyújtott támogatási kölcsön visszatérülése</t>
  </si>
  <si>
    <t>Fiatalok lakáskölcsön törlesztése</t>
  </si>
  <si>
    <t>Alcím-szám</t>
  </si>
  <si>
    <t>I. fejezet: Önkormányzati költségvetési szervek</t>
  </si>
  <si>
    <t>Működési költségvetés</t>
  </si>
  <si>
    <t>Ellátottak pénzbeli juttatásai</t>
  </si>
  <si>
    <t>Cím összesen:</t>
  </si>
  <si>
    <t>Alcím összesen:</t>
  </si>
  <si>
    <t>Bródy Sándor Könyvtár</t>
  </si>
  <si>
    <t>Parkfenntartás</t>
  </si>
  <si>
    <t>Köztisztaság</t>
  </si>
  <si>
    <t>Közutak, hidak üzemeltetése</t>
  </si>
  <si>
    <t>Települési vízellátás</t>
  </si>
  <si>
    <t>Közkifolyók és locsolóhálózat vízdíja</t>
  </si>
  <si>
    <t>Közvilágítás</t>
  </si>
  <si>
    <t>Vízrendezés, vízelvezetés</t>
  </si>
  <si>
    <t>Cím-név</t>
  </si>
  <si>
    <t>Alcím-név</t>
  </si>
  <si>
    <t>Dolgozók lakáscélú kölcsöne</t>
  </si>
  <si>
    <t>Kulturális tevékenység</t>
  </si>
  <si>
    <t>Csatorna, III. rendű vízfolyások, nyílt árok karbantartás</t>
  </si>
  <si>
    <t>Sporttevékenység</t>
  </si>
  <si>
    <t xml:space="preserve">Ifjúsági célú tevékenység </t>
  </si>
  <si>
    <t>Önkormányzati vagyonbiztosítás</t>
  </si>
  <si>
    <t>Segélyek</t>
  </si>
  <si>
    <t>ÁFA befizetés</t>
  </si>
  <si>
    <t>Nemzetközi kapcsolatok</t>
  </si>
  <si>
    <t>Mezőgazdasági feladatok</t>
  </si>
  <si>
    <t>Külterületi utak fenntartása</t>
  </si>
  <si>
    <t>KIADÁSOK ÖSSZESEN:</t>
  </si>
  <si>
    <t>B E V É T E L E K</t>
  </si>
  <si>
    <t>K I A D Á S O K</t>
  </si>
  <si>
    <t>I. fejezet összesen:</t>
  </si>
  <si>
    <t xml:space="preserve">Címkézett iparűzési adó miatti tartalék </t>
  </si>
  <si>
    <t>kapcsolatos kiadások</t>
  </si>
  <si>
    <t>Önkormányzati lakásokkal kapcsolatos kiadások</t>
  </si>
  <si>
    <t>Nem lakás célú helyiségekkel kapcsolatos kiadások</t>
  </si>
  <si>
    <t>Vis maior tartaléka</t>
  </si>
  <si>
    <t>Egyéb ingatlan értékesítés</t>
  </si>
  <si>
    <t>Urnahely visszavásárlás</t>
  </si>
  <si>
    <t>Kiszámlázott termékek és szolgáltatások ÁFA-ja</t>
  </si>
  <si>
    <t>Közúti jelzőeszközök, úttartozékok</t>
  </si>
  <si>
    <t>Útburkolati jelfestés</t>
  </si>
  <si>
    <t>Közúti szakági nyilvántartás</t>
  </si>
  <si>
    <t>Sürgős beavatkozások</t>
  </si>
  <si>
    <t>Szakági nyilvántartás</t>
  </si>
  <si>
    <t>Egri Városi Sportiskola</t>
  </si>
  <si>
    <t>Szabályozási terv és helyi építési szabályzat</t>
  </si>
  <si>
    <t>Balesetveszély és azonnali beavatkozást igénylő esetek</t>
  </si>
  <si>
    <t>Bérbeadott ingatlanokkal kapcsolatos kiadások</t>
  </si>
  <si>
    <t>Bérlakásértékesítéssel kapcsolatos kiadások</t>
  </si>
  <si>
    <t>Nem lakás céljára szolgáló helyiségek visszadásával kapcsolatos kiadások</t>
  </si>
  <si>
    <t>Kábítószerügyi Egyeztető Fórum</t>
  </si>
  <si>
    <t>Rágcsálóirtás</t>
  </si>
  <si>
    <t>Adóiroda által behajtott szabálysértés, helyszíni bírság</t>
  </si>
  <si>
    <t>Vagyoni jellegű kiadások</t>
  </si>
  <si>
    <t>Urnahely, sírhely</t>
  </si>
  <si>
    <t>Esküvő, névadó</t>
  </si>
  <si>
    <t>Földhaszonbérlet</t>
  </si>
  <si>
    <t>Egyéb bevétel</t>
  </si>
  <si>
    <t>Építményadó</t>
  </si>
  <si>
    <t>Pedagógus díszoklevél elismerése</t>
  </si>
  <si>
    <t>Közalkalmazottak és köztisztviselők foglalkozás-egészségügyi ellátása</t>
  </si>
  <si>
    <t>Eger Megyei  Jogú Város Önkormányzata</t>
  </si>
  <si>
    <t>Cím-szám</t>
  </si>
  <si>
    <t>Idegenforgalmi adó</t>
  </si>
  <si>
    <t>Pincebérlet</t>
  </si>
  <si>
    <t>Egyéb helyiségek bérleti díja</t>
  </si>
  <si>
    <t>Parkolóból származó bevétel</t>
  </si>
  <si>
    <t>Önkormányzati lakások értékesítése</t>
  </si>
  <si>
    <t>Tárgyi eszközök, immateriális javak értékesítése</t>
  </si>
  <si>
    <t>II. fejezet összesen:</t>
  </si>
  <si>
    <t>V. fejezet összesen:</t>
  </si>
  <si>
    <t>VI. fejezet összesen:</t>
  </si>
  <si>
    <t>BEVÉTELEK ÖSSZESEN:</t>
  </si>
  <si>
    <t>Megnevezés</t>
  </si>
  <si>
    <t>Önkormányzati költségvetési szervek működési költségvetés</t>
  </si>
  <si>
    <t>Egyéb mezőgazdasági feladatokkal összefüggő kiadások</t>
  </si>
  <si>
    <t>Értékesített tárgyi eszközök és immateriális javak ÁFA-ja</t>
  </si>
  <si>
    <t>Közbeszerzési eljárásokkal kapcsolatos kiadások</t>
  </si>
  <si>
    <t>Kulturális célú támogatások, kiadások</t>
  </si>
  <si>
    <t>Sportcélú támogatások, kiadások</t>
  </si>
  <si>
    <t>Ifjúsági  célú támogatások, kiadások</t>
  </si>
  <si>
    <t>Köztemetés</t>
  </si>
  <si>
    <t>Szabályozási tervek készítéséhez kapcsolódó működési kiadások</t>
  </si>
  <si>
    <t>Dologi kiadások</t>
  </si>
  <si>
    <t>Városi Ifjúsági Ösztöndíjak</t>
  </si>
  <si>
    <t>Választókörzeti feladatok kiadásai</t>
  </si>
  <si>
    <t>EVAT Zrt kezelésében lévő önkormányzati vagyon hasznosításával összefüggő kiadások</t>
  </si>
  <si>
    <t>EVAT Zrt lakáskezelési tevékenységével kapcsolatos kiadások</t>
  </si>
  <si>
    <t>EVAT Zrt nem lakás célú helyiségek kezelési tevékenységével</t>
  </si>
  <si>
    <t>Egri Kulturális és Művészeti Központ</t>
  </si>
  <si>
    <t>Utak, járdák karbantartása</t>
  </si>
  <si>
    <t>Hidak karbantartása</t>
  </si>
  <si>
    <t>Városi Karácsonyi rendezvény</t>
  </si>
  <si>
    <t>Lyceum Pro Scientiis Alapítvány támogatása</t>
  </si>
  <si>
    <t>"Kéklámpás Nap" rendezvény</t>
  </si>
  <si>
    <t>Lakáshoz kapcsolódó külön szolgáltatás</t>
  </si>
  <si>
    <t>Hajléktalanok átmeneti intézményei</t>
  </si>
  <si>
    <t>Városüzemeltetés (1-9 címszám) összesen:</t>
  </si>
  <si>
    <t>Bursa Hungarica Ösztöndíj</t>
  </si>
  <si>
    <t>Mezőgazdasági földterületek megszerzése</t>
  </si>
  <si>
    <t>Segélyezési tartalék</t>
  </si>
  <si>
    <t>Mezőgazdasági földértékesítés</t>
  </si>
  <si>
    <t>Utcanév táblák, tájékoztató táblák</t>
  </si>
  <si>
    <t>Állami ünnepek</t>
  </si>
  <si>
    <t>Egri Közszolgáltatások Városi Intézménye</t>
  </si>
  <si>
    <t>Ellátottak pénzbeli juttatási</t>
  </si>
  <si>
    <t>Élhetőbb városért akciósorozat</t>
  </si>
  <si>
    <t>Előir.- csop.-  szám</t>
  </si>
  <si>
    <t>Előir.- csop.-      név</t>
  </si>
  <si>
    <t>Érdekeltségi tartalék</t>
  </si>
  <si>
    <t>Játszóterek biztonsági felülvizsgálata</t>
  </si>
  <si>
    <t>Egyéb oktatási feladatok kiadásai</t>
  </si>
  <si>
    <t>Továbbszámlázott szolgáltatások</t>
  </si>
  <si>
    <t>Telekeladás</t>
  </si>
  <si>
    <t>Eger ünnepi fényei</t>
  </si>
  <si>
    <t>Támogatási kölcsönök igénybevétele és visszatérülése</t>
  </si>
  <si>
    <t>Hiány belső finanszírozása pénzforgalom nélküli bevételből</t>
  </si>
  <si>
    <t>Költségvetési bevételek</t>
  </si>
  <si>
    <t>Pinceszínház Eger Művészeti Közhasznú Egyesület támogatása</t>
  </si>
  <si>
    <t>Sportlétesítmények felújítása</t>
  </si>
  <si>
    <t>Egri Német Önkormányzat</t>
  </si>
  <si>
    <t>Élelmezéssel összefüggő tartalék</t>
  </si>
  <si>
    <t>(Pozsonyi u-i lakások üzemeltetésének tartaléka)</t>
  </si>
  <si>
    <t>Piaccsarnok üzemeltetés társasházi közös költség</t>
  </si>
  <si>
    <t>Városmarketing feladatok</t>
  </si>
  <si>
    <t>Választókörzeti feladatokhoz kapcsolódó felhalmozási kiadások</t>
  </si>
  <si>
    <t xml:space="preserve">Iparűzési adó </t>
  </si>
  <si>
    <t>MVH-tól Földalapú támogatás</t>
  </si>
  <si>
    <t>Egyéb kulturális tevékenység</t>
  </si>
  <si>
    <t>Ney Ferenc Óvoda</t>
  </si>
  <si>
    <t>Szivárvány Óvoda</t>
  </si>
  <si>
    <t>Gárdonyi Géza Színház</t>
  </si>
  <si>
    <t>Harlekin Bábszínház</t>
  </si>
  <si>
    <t>II. fejezet: Önkormányzati feladatok saját bevételei</t>
  </si>
  <si>
    <t>Közhatalmi bevételek</t>
  </si>
  <si>
    <t>Virágos rendezvénysorozat</t>
  </si>
  <si>
    <t>Galambmentesítési program</t>
  </si>
  <si>
    <t>Temetők fenntartási feladatai</t>
  </si>
  <si>
    <t>Filharmónia koncertsorozat lebonyolítása</t>
  </si>
  <si>
    <t>Érseki Vagyonkezelő Központ Közgyűjteménye</t>
  </si>
  <si>
    <t>Önkormányzati kitüntetések, díjak</t>
  </si>
  <si>
    <t>Önkormányzati feladatellátással összefüggő kiadások</t>
  </si>
  <si>
    <t>Nemzetiségi Önkormányzatok részére adott támogatás</t>
  </si>
  <si>
    <t>Egri Cigány Önkormányzat</t>
  </si>
  <si>
    <t>Egri Görög Önkormányzat</t>
  </si>
  <si>
    <t>Egri Lengyel Önkormányzat</t>
  </si>
  <si>
    <t>Egri Ruszin Önkormányzat</t>
  </si>
  <si>
    <t>Személyi juttatások</t>
  </si>
  <si>
    <t>Önkormányzati feladatellátás tartaléka</t>
  </si>
  <si>
    <t>Munkaadókat terhelő járulékok és szociális hozzájárulási adó</t>
  </si>
  <si>
    <t>II. fejezet: Önkormányzati feladatellátás kiadásai</t>
  </si>
  <si>
    <t xml:space="preserve">Költségvetési kiadások </t>
  </si>
  <si>
    <t>Egyéb működési célú kiadások</t>
  </si>
  <si>
    <t>EVAT Zrt egyéb kezelési feladatokkal kapcsolatos kiadások</t>
  </si>
  <si>
    <t>III. fejezet összesen:</t>
  </si>
  <si>
    <t>IV. fejezet összesen:</t>
  </si>
  <si>
    <t>V. fejezet: Támogatási kölcsönök igénybevétele és visszatérülése</t>
  </si>
  <si>
    <t>V. fejezet: Tartalékok</t>
  </si>
  <si>
    <t>Önkormányzat működési költségvetés</t>
  </si>
  <si>
    <t>Eger Megyei Jogú Város Polgármesteri Hivatal</t>
  </si>
  <si>
    <t>Közfoglalkoztatás</t>
  </si>
  <si>
    <t>Dobó István Vármúzeum</t>
  </si>
  <si>
    <t>Gyermekjóléti és Bölcsődei Igazgatóság</t>
  </si>
  <si>
    <t>Feladat jogcím</t>
  </si>
  <si>
    <t>összesen:</t>
  </si>
  <si>
    <t>Ö</t>
  </si>
  <si>
    <t>K</t>
  </si>
  <si>
    <t>Kötelező feladat összesen:</t>
  </si>
  <si>
    <t>Önként vállalt feladat összesen:</t>
  </si>
  <si>
    <t>EVAT Zrt. - Parkoló üzemeltetéssel összefüggő kiadások</t>
  </si>
  <si>
    <t>Köznevelési feladatok</t>
  </si>
  <si>
    <t>Sajátos nevelési igényű, hátrányos helyzetű és magántanulók felzárkóztatását segítő foglalkozás</t>
  </si>
  <si>
    <t>Esküvői, névadói rendezvény</t>
  </si>
  <si>
    <t>Agria Polgárőr Egyesület támogatása</t>
  </si>
  <si>
    <t>Média Eger Nonprofit Kft támogatás</t>
  </si>
  <si>
    <t>Heves Megyei Regionális Hulladékgazdálkodási Társulás támogatása</t>
  </si>
  <si>
    <t>Állatokat Védjük Együtt Alapítvány</t>
  </si>
  <si>
    <t>Idegenforgalmi jelentőségű sportesemények</t>
  </si>
  <si>
    <t>Felhalmozási költségvetés</t>
  </si>
  <si>
    <t>Egyéb felhalmozási kiadások</t>
  </si>
  <si>
    <t>Beruházások</t>
  </si>
  <si>
    <t>Felújítások</t>
  </si>
  <si>
    <t>Településképi eljárás bírságai</t>
  </si>
  <si>
    <t>Heves Megyei Vízmű Zrt vagyonkezelési díj</t>
  </si>
  <si>
    <t>III. fejezet: Helyi önkormányzatok támogatásai</t>
  </si>
  <si>
    <t>A települési önkormányzatok működésének támogatása</t>
  </si>
  <si>
    <t>Óvodapedagógusok, és az óvodapedagógusok nevelő munkáját közvetlenül segítők bértámogatása</t>
  </si>
  <si>
    <t>Óvodapedagógusok és munkájukat közvetlenül segítők bértámogatása</t>
  </si>
  <si>
    <t>Óvodaműködtetési támogatás</t>
  </si>
  <si>
    <t>Egyes szociális és gyermekjóléti feladatok támogatása</t>
  </si>
  <si>
    <t>Szociális étkeztetés</t>
  </si>
  <si>
    <t>Házi segítségnyújtás</t>
  </si>
  <si>
    <t>Időskorúak nappali intézményi ellátása</t>
  </si>
  <si>
    <t>Fogyatékos és demens személyek nappali intézményi ellátása</t>
  </si>
  <si>
    <t>A finanszírozás szempontjából elismert szakmai dolgozók bértámogatása</t>
  </si>
  <si>
    <t>Intézmény-üzemeltetési támogatás</t>
  </si>
  <si>
    <t>A települési önkormányzatok kulturális feladatainak támogatása</t>
  </si>
  <si>
    <t>Könyvtári, közművelődési és múzeumi feladatok támogatása</t>
  </si>
  <si>
    <t>Dobó István Vármúzeum támogatása</t>
  </si>
  <si>
    <t>Megyeszékhely megyei jogú városok közművelődési támogatása</t>
  </si>
  <si>
    <t>A települési önkormányzatok által fenntartott, illetve támogatott előadó-művészeti szervezetek támogatása</t>
  </si>
  <si>
    <t>Gárdonyi Géza Színház művészeti támogatása</t>
  </si>
  <si>
    <t>Harlekin Bábszínház művészeti támogatása</t>
  </si>
  <si>
    <t>Hiány belső finanszírozása</t>
  </si>
  <si>
    <t>Önkormányzati költségvetési szervek felújítások</t>
  </si>
  <si>
    <t>Önkormányzati költségvetési szervek beruházások</t>
  </si>
  <si>
    <t>Működési célú támogatás államháztartáson belülről</t>
  </si>
  <si>
    <t>Működési célú támogatás államháztartáson belülről EU-s forrásból</t>
  </si>
  <si>
    <t>Működési célú támogatás államháztartáson belülről egyéb forrásból</t>
  </si>
  <si>
    <t>Felhalmozási célú támogatás államháztartáson belülről EU-s forrásból</t>
  </si>
  <si>
    <t>Felhalmozási célú támogatás államháztartáson belülről egyéb forrásból</t>
  </si>
  <si>
    <t>Működési célú átvett pénzeszköz EU-s forrásból</t>
  </si>
  <si>
    <t>Működési célú átvett pénzeszköz egyéb forrásból</t>
  </si>
  <si>
    <t>Felhalmozási célú átvett pénzeszköz egyéb forrásból</t>
  </si>
  <si>
    <t>Felhalmozási célú átvett pénzeszköz EU-s forrásból</t>
  </si>
  <si>
    <t>Főegyházmegyei Karitász Központ - szenvedélybeteg segítő szolgálat támogatása</t>
  </si>
  <si>
    <t>Biosziget Rehabilitációs Alapítvány lakóotthona működéséhez támogatás</t>
  </si>
  <si>
    <t>Á</t>
  </si>
  <si>
    <t>Államigazgatási feladat összesen:</t>
  </si>
  <si>
    <t>Működési célú átvett pénzeszköz</t>
  </si>
  <si>
    <t>Működési célú támogatás államháztartáson belülről az Egészségbiztosítási Pénztártól</t>
  </si>
  <si>
    <t>Bírság bevételek</t>
  </si>
  <si>
    <t>Adópótlék, adóbírság</t>
  </si>
  <si>
    <t>ÁFA bevételek,- visszatérülések</t>
  </si>
  <si>
    <t>Önkormányzati költségvetési szervek működési célú támogatás államháztartáson belülről</t>
  </si>
  <si>
    <t>Önkormányzati feladatok saját bevételei összesen:</t>
  </si>
  <si>
    <t>Helyi önkormányzatok támogatásai összesen:</t>
  </si>
  <si>
    <t>Hiány külső finanszírozása hitelfelvétellel</t>
  </si>
  <si>
    <t>IV. fejezet: Támogatások államháztartáson belülről és átvett pénzeszközök</t>
  </si>
  <si>
    <t>Támogatások államháztartáson belülről (1-4 címszám) összesen:</t>
  </si>
  <si>
    <t>Önkormányzat átvett pénzeszközök összesen:</t>
  </si>
  <si>
    <t>Idegenforgalmi rendezvények</t>
  </si>
  <si>
    <t>Felhalmozási célú támogatások államháztartáson belülre és átadott pénzeszközök</t>
  </si>
  <si>
    <t>III. fejezet: Felhalmozási célú támogatások államháztartáson belülre és átadott pénzeszközök</t>
  </si>
  <si>
    <t>Önkormányzati költségvetési szervek Működési célú támogatás államháztartáson belülről  az EP-től</t>
  </si>
  <si>
    <t>Felhalmozási célú átvett pénzeszköz</t>
  </si>
  <si>
    <t>A települési önkormányzatok egyes köznevelési feladatainak támogatása</t>
  </si>
  <si>
    <t>Bródy Sándor Könyvtár támogatása</t>
  </si>
  <si>
    <t>Működési célú átvett pénzeszközök EU-s forrásból</t>
  </si>
  <si>
    <t>Működési célú átvett pénzeszközök egyéb forrásból</t>
  </si>
  <si>
    <t>Felhalmozási célú átvett pénzeszközök EU-s forrásból</t>
  </si>
  <si>
    <t>Idegenforgalmi jelentőségű kulturális rendezvények</t>
  </si>
  <si>
    <t>Kiadási rovat</t>
  </si>
  <si>
    <t>Előirányzat csoportnév</t>
  </si>
  <si>
    <t>Kiadási rovat neve</t>
  </si>
  <si>
    <t>Idegenforgalmi feladatok</t>
  </si>
  <si>
    <t>Vagyoni tipusú adók</t>
  </si>
  <si>
    <t>Értékesítési és forgalmi adók</t>
  </si>
  <si>
    <t>Gépjárműadók</t>
  </si>
  <si>
    <t>Egyéb áruhasználati és szolgáltatási adók</t>
  </si>
  <si>
    <t xml:space="preserve">             Alcím összesen</t>
  </si>
  <si>
    <t>Egyéb közhatalmi bevételek</t>
  </si>
  <si>
    <t>Működési bevételek</t>
  </si>
  <si>
    <t>Áru- és készletértékesítés ellenértéke</t>
  </si>
  <si>
    <t>Könyvértékesítés</t>
  </si>
  <si>
    <t>Szolgáltatások ellenértéke</t>
  </si>
  <si>
    <t>Közvetített szolgáltatások ellenértéke</t>
  </si>
  <si>
    <t>Tulajdonosi bevételek</t>
  </si>
  <si>
    <t>Kamatbevételek</t>
  </si>
  <si>
    <t>Egyéb bevételek</t>
  </si>
  <si>
    <t>Felhalmozási bevételek</t>
  </si>
  <si>
    <t>II. fejezet összesen</t>
  </si>
  <si>
    <t>VI. fejezet: Finanszírozási bevételek</t>
  </si>
  <si>
    <t>Hitelfelvétel beruházási, felhalmozási feladatokhoz</t>
  </si>
  <si>
    <t>Előző évi maradvány igénybevétele</t>
  </si>
  <si>
    <t>Kölcsön nyújtáshoz kapcsolódó kamatbevétel</t>
  </si>
  <si>
    <t>Fejlesztési hitelkamat</t>
  </si>
  <si>
    <t xml:space="preserve">IV. fejezet: Kölcsönök nyújtása </t>
  </si>
  <si>
    <t>Támogatási kölcsönök nyújtása felhalmozási célra</t>
  </si>
  <si>
    <t>VI. fejezet: Finanszírozási kiadások</t>
  </si>
  <si>
    <t>Egri Kistérség Többcélú Társulás támogatása</t>
  </si>
  <si>
    <t>Közhatalmi bevételek (1-2 címszám) összesen:</t>
  </si>
  <si>
    <t>Gyepmesteri tevékenység és állati eredetű hulladék begyűjtése, megsemmisítése</t>
  </si>
  <si>
    <t>Agria Film Kft - fiatalok szabadidős tevékenysége</t>
  </si>
  <si>
    <t>Sportegészségügyi feladatok ellátása</t>
  </si>
  <si>
    <t>Ellátottak pénzbeli juttatása</t>
  </si>
  <si>
    <t xml:space="preserve">Bevételi rovat </t>
  </si>
  <si>
    <t>Bevételi rovat</t>
  </si>
  <si>
    <t>Önkormányzat egyéb közhatalmi bevételek</t>
  </si>
  <si>
    <t>Önkormányzat működési bevételek</t>
  </si>
  <si>
    <t>Önkormányzat felhalmozási bevételek</t>
  </si>
  <si>
    <t>1-5</t>
  </si>
  <si>
    <t>1-8</t>
  </si>
  <si>
    <t>3, 7, 8</t>
  </si>
  <si>
    <t>Kölcsönök nyújtása</t>
  </si>
  <si>
    <t>5, 8</t>
  </si>
  <si>
    <t>Önkormányzati költségvetési szervek fehalmozási célú átvett pénzeszköz</t>
  </si>
  <si>
    <t>6, 7</t>
  </si>
  <si>
    <t>Önkormányzati költségvetési szervek felhalmozási célú támogatás államháztartáson belülről</t>
  </si>
  <si>
    <t>Behajtási engedély</t>
  </si>
  <si>
    <t>Eger Kártya</t>
  </si>
  <si>
    <t>Egyéb tulajdonosi bevételek</t>
  </si>
  <si>
    <t>Utólagos rákötés magánerős közműberuházásokra</t>
  </si>
  <si>
    <t>Települési terv készítéséhez hozzájárulás</t>
  </si>
  <si>
    <t>Belterületbe vonással és ingatlanfejlesztéssel összefüggő közműfejlesztési hozzájárulás</t>
  </si>
  <si>
    <t>A helyi önkormányzatok működésének általános támogatása</t>
  </si>
  <si>
    <t>Kiegészítő támogatás az óvodapedagógusok minősítéséből adódó többletkiadásokhoz</t>
  </si>
  <si>
    <t>A települési önkormányzatok által biztosított egyes szociális szakosított ellátások, valamint a gyerekek átmeneti gondozásával kapcsolatos feladatok támogatása</t>
  </si>
  <si>
    <t>MVH-tól erdőtelepítési támogatás</t>
  </si>
  <si>
    <t>Központi támogatásokkal kapcsolatos tartalék</t>
  </si>
  <si>
    <t>Illegális hulladék, zöldhulladék elszállítás</t>
  </si>
  <si>
    <t>Forgalomirányító berendezések és sebességmérők áramdíja</t>
  </si>
  <si>
    <t>Egri Borút Egyesület tagdíj</t>
  </si>
  <si>
    <t>Egyéb ifjúsági feladatok</t>
  </si>
  <si>
    <t>Ifjúsági Zenei Program</t>
  </si>
  <si>
    <t>Műjégpálya használat</t>
  </si>
  <si>
    <t>Működési kiadásokhoz kapcsolódó ÁFA befizetés</t>
  </si>
  <si>
    <t>Sportolók támogatása</t>
  </si>
  <si>
    <t>Polgárvédelemmel összefüggő kiadások</t>
  </si>
  <si>
    <t>Térfigyelő kamerák működési kiadásai</t>
  </si>
  <si>
    <t>Települési támogatás</t>
  </si>
  <si>
    <t>Cantus Agriensis (Egri Énekesek) támogatása</t>
  </si>
  <si>
    <t>Helyi önkormányzatok működésének általános támogatása</t>
  </si>
  <si>
    <t>Helyi önkormányzatok általános működésének és ágazati feladatainak támogatása (1-4 címszám) összesen:</t>
  </si>
  <si>
    <t>Helyi önkormányzatok általános működésének és ágazati feladatainak támogatása</t>
  </si>
  <si>
    <t>Helyi önkormányzatok felhalmozási célú központi támogatása</t>
  </si>
  <si>
    <t>Önkormányzati támogatások államháztartáson belülről összesen:</t>
  </si>
  <si>
    <t>Emléktáblák elhelyezése</t>
  </si>
  <si>
    <t>Heves Megyei Úszó- és Vízilabda Szövetség Alapítvány - Sportmúzeum működtetése</t>
  </si>
  <si>
    <t xml:space="preserve">Gárdonyi Géza Színház működési támogatása </t>
  </si>
  <si>
    <t>Harlekin Bábszínház működési támogatása</t>
  </si>
  <si>
    <t>A települési önkormányzatok szociális, gyermekjóléti és gyermekétkeztetési feladatainak támogatása</t>
  </si>
  <si>
    <t>Telekadó</t>
  </si>
  <si>
    <t>Területbérlet</t>
  </si>
  <si>
    <t>Gyógy- és termálvíz hasznosítása</t>
  </si>
  <si>
    <t>Földhaszonbérlet (földműves)</t>
  </si>
  <si>
    <t>Rekreációs célú használat</t>
  </si>
  <si>
    <t>Egri Szociális Szolgáltató Intézmény</t>
  </si>
  <si>
    <t>Felhalmozási és tőke jellegű bevétel</t>
  </si>
  <si>
    <t>Kármentesítési monitoring rendszer üzemeltetése az Ipari park 9847. hrsz. és környezetének területén</t>
  </si>
  <si>
    <t>Csapadékvíz rendezési feladatok</t>
  </si>
  <si>
    <t>Járdák, parkolók felújítása</t>
  </si>
  <si>
    <t>Játszótér felújítás</t>
  </si>
  <si>
    <t>Útfelújítások</t>
  </si>
  <si>
    <t>Zöldfelület felújítás</t>
  </si>
  <si>
    <t>Modern Városok Program kiadásai</t>
  </si>
  <si>
    <t>Déli iparterület fejlesztés előkészítő munkái</t>
  </si>
  <si>
    <t>Fejlesztési célú hitelek törlesztése</t>
  </si>
  <si>
    <t>Hiteltörlesztés</t>
  </si>
  <si>
    <t xml:space="preserve">Jövedelemadók, vagyoni típusú adók, termékek és szolgáltatások adói </t>
  </si>
  <si>
    <t>Önkormányzat jövedelemadók, vagyoni típusú adók, termékek és szolgáltatások adói</t>
  </si>
  <si>
    <t>Gajdos Népzenei és Néptánc Kulturális Egyesület támogatása</t>
  </si>
  <si>
    <t>KMKK Középkelet-magyarországi Közlekedési Központ Zrt - helyi közösségi közlekedés támogatása</t>
  </si>
  <si>
    <t>Eger és Körzete Hulladékkezelő és Szolgáltató Nonprofit Közhasznú Kft - Állati eredetű hulladék begyűjtése, megsemmisítése</t>
  </si>
  <si>
    <t>Önkormányzati költségvetési szervek felhalmozási és tőke jellegű bevétel</t>
  </si>
  <si>
    <t>Ft-ban</t>
  </si>
  <si>
    <t>Forgatási célú belföldi értékpapír beváltása, értékesítése</t>
  </si>
  <si>
    <t xml:space="preserve">Egyéb finanszírozási célú bevételek </t>
  </si>
  <si>
    <t>Egyéb finanszírozási célú kiadások</t>
  </si>
  <si>
    <t>1,2,3,6</t>
  </si>
  <si>
    <t>Család és gyermekjóléti szolgálat</t>
  </si>
  <si>
    <t>Család és gyermekjóléti központ</t>
  </si>
  <si>
    <t>Térinformatikai rendszer fejlesztése</t>
  </si>
  <si>
    <t>Tájépítészeti szakértői díj és arculati kézikönyv</t>
  </si>
  <si>
    <t xml:space="preserve">Terület- és Településfejlesztési Operatív Program felújítási pályázatai </t>
  </si>
  <si>
    <t>Csiky Sándor utca és Maczky Valér utca csapadékvíz-elvezetés felújítása</t>
  </si>
  <si>
    <t>Csiky Sándor utca és Maczky Valér utca út- és közterület felújítása</t>
  </si>
  <si>
    <t>Épületenergetikai rekonstrukció Egerben az Idősek Berva-völgyi Otthonában</t>
  </si>
  <si>
    <t>Egészségügyi Alapellátás fejlesztése Egerben</t>
  </si>
  <si>
    <t>Óvodák energetikai korszerűsítése Egerben</t>
  </si>
  <si>
    <t>A Vitkovics Ház energetikai rekonstrukciója</t>
  </si>
  <si>
    <t>Nemzeti Vízilabda és Úszóközpont előkészítő és megvalósítási munkái</t>
  </si>
  <si>
    <t>Terület- és Településfejlesztési Operatív Program beruházási pályázatai</t>
  </si>
  <si>
    <t>Déli Iparterület fenntartható városi közlekedésfejlesztése</t>
  </si>
  <si>
    <t>Eger Keleti Városrész fenntartható városi közlekedésének fejlesztése</t>
  </si>
  <si>
    <t>Pozsonyi utcai óvoda építése</t>
  </si>
  <si>
    <t>Kertész utcai óvoda építése</t>
  </si>
  <si>
    <t>Családbarát bölcsődei közszolgáltatások fejlesztése Egerben</t>
  </si>
  <si>
    <t>Eger keleti városrész gazdaságfejlesztést- és munkaerő mobilitás ösztönzését szolgáló közlekedésfejlesztése</t>
  </si>
  <si>
    <t>Felnémeti alközpont fejlesztése</t>
  </si>
  <si>
    <t>Belvárosi terek komplex megújítása</t>
  </si>
  <si>
    <t>Lajosvárosban a Köztársaság terén komplex egészségügyi központ fejlesztése</t>
  </si>
  <si>
    <t>Déli iparterület alapinfrastruktúra fejlesztése</t>
  </si>
  <si>
    <t>Művészeti és  szabadidő komplexum kialakítása és turisztikai attrakcióvá történő fejlesztése Egerben</t>
  </si>
  <si>
    <t>Eger, Malom u. fenntartható városi közlekedésfejlesztése</t>
  </si>
  <si>
    <t>Napelempark fejlesztése Egerben</t>
  </si>
  <si>
    <t>Leromlott városi területek rehabilitációja Egerben</t>
  </si>
  <si>
    <t>Szociális alapszolgáltatások infrastrukturájának fejlesztése egri intézményekben</t>
  </si>
  <si>
    <t>Az Egri Vár fejlesztésének előkészítő és megvalósítási munkái</t>
  </si>
  <si>
    <t>Parkolók, járdák építése</t>
  </si>
  <si>
    <t>Pince és partfal veszélyelhárítás</t>
  </si>
  <si>
    <t>Útberuházások</t>
  </si>
  <si>
    <t>Urnafal és urnasírhely építés, vásárlás</t>
  </si>
  <si>
    <t>Közvilágítás létesítés, korszerűsítés</t>
  </si>
  <si>
    <t>Szabványos minősített atlétikai pálya és dobópálya kialakítása (II. ütem)</t>
  </si>
  <si>
    <t>Elektromos töltőállomások kialakítása a Jedlik Ányos Terv alapján</t>
  </si>
  <si>
    <t>Víziközmű fejlesztések a vagyonkezelői díj terhére</t>
  </si>
  <si>
    <t>Informatikai fejlesztési feladatok</t>
  </si>
  <si>
    <t>TOP pályázatok előkészítési és megvalósítási feladatainak kiegészítése</t>
  </si>
  <si>
    <t>Az Egri Vár Turisztikai attrakcióinak fejlesztése GINOP pályázattal</t>
  </si>
  <si>
    <t>Magánszemélyek jövedelemadói</t>
  </si>
  <si>
    <t>Kivett területek bérleti díja</t>
  </si>
  <si>
    <t>Támogató szolgáltatás</t>
  </si>
  <si>
    <t>Intézményi gyermekétkeztetés támogatása</t>
  </si>
  <si>
    <t>Az intézményi gyermekétkeztetés kapcsán az étkeztetési feladatot ellátók után járó bértámogatás</t>
  </si>
  <si>
    <t>Intézményi gyermekétkeztetés üzemeltetési támogatása</t>
  </si>
  <si>
    <t>Megyei Könyvtár kistelepülési könyvtári célú kiegészítő támogatása</t>
  </si>
  <si>
    <t>Eger keleti városrész gazdaságfejlesztést- és munkaerő mobilitás ösztönzését szolgáló közlekedésfejlesztése TOP támogatás</t>
  </si>
  <si>
    <t>Felhalmozási célú átvett pénzeszközök egyéb forrásból</t>
  </si>
  <si>
    <t>Átvett pénzeszközök (5-8 címszám) összesen:</t>
  </si>
  <si>
    <t>Játszóterek fenntartása, fák kezelése, előre nem tervezhető parkfenntartási feladatok</t>
  </si>
  <si>
    <t>Városgondozás Eger Kft. - Városüzemeltetési feladatok támogatása</t>
  </si>
  <si>
    <t>Szederinda Alapítvány - Nemzetközi Fesztivál megrendezésének támogatása</t>
  </si>
  <si>
    <t>Egri Borbarát Hölgyek Egyesület támogatása</t>
  </si>
  <si>
    <t>Városi Civil Ünnep rendezvény</t>
  </si>
  <si>
    <t>Önkormányzati ünnepek</t>
  </si>
  <si>
    <t>"Magyarország 2023 - Európa Kulturális Fővárosa" pályázattal összefüggő kiadások</t>
  </si>
  <si>
    <t>Eger Városi Turisztikai Közhasznú Nonprofit Kft. támogatása</t>
  </si>
  <si>
    <t>Terület és Településfejlesztési Operatív Program működési pályázatai</t>
  </si>
  <si>
    <t>"Eger Megyei Jogú Város Foglalkoztatási Paktuma" pályázattal összefüggő kiadások</t>
  </si>
  <si>
    <t>Fejlesztési tartalék</t>
  </si>
  <si>
    <t>Előző évi maradványok tartaléka</t>
  </si>
  <si>
    <t>Forgatási célú belföldi értékpapírok vásárlása</t>
  </si>
  <si>
    <t>Lajtha László Néptánc és Népzenei Egyesület támogatása</t>
  </si>
  <si>
    <t>Egri Szimfonikus Zenekar Kulturális Egyesület támogatása</t>
  </si>
  <si>
    <t>Ifjúsági rendezvények, képzések és kiadványok</t>
  </si>
  <si>
    <t>"Társadalmi együttműködés erősítése a Szala városrészben" pályázattal összefüggő kiadások</t>
  </si>
  <si>
    <t>2018. évi működési célú előirányzat</t>
  </si>
  <si>
    <t>2018. évi felhalmozási célú előirányzat</t>
  </si>
  <si>
    <t>2018. évi  előirányzat összesen</t>
  </si>
  <si>
    <t>Felhalmozási célú támogatás államháztartáson belülről az Egészségbiztosítási Pénztártól</t>
  </si>
  <si>
    <t>Felhalmozási célú támogatás államháztartáson belülről</t>
  </si>
  <si>
    <t>Kármentesítés - részleges tényfeltárás elvégzése hatósági kötelezés alapján</t>
  </si>
  <si>
    <t>Ingatlanvásárlás</t>
  </si>
  <si>
    <t>Déli iparterület infrastrukturális fejlesztése</t>
  </si>
  <si>
    <t>Egri Vár Zárkándy bástya helyreállítása, állagmegóvása</t>
  </si>
  <si>
    <t>Eger, Déli Városrész közlekedésfejlesztése</t>
  </si>
  <si>
    <t>Kulturális és Közösségi terek infrastrukturális fejlesztése (CLLD)</t>
  </si>
  <si>
    <t>Eger Város szennyvízcsatorna-hálózatának fejlesztése és a szennyvíztisztító telep korszerűsítése KEHOP pályázattal</t>
  </si>
  <si>
    <t>Nagyberuházások kiadásai (201-203 címszám) összesen:</t>
  </si>
  <si>
    <t>2014-2020. közötti időszak beruházásainak tervezése</t>
  </si>
  <si>
    <t>Katasztrófavédelem által kiadott kötelezések végrehajtásával összefüggő kiadások</t>
  </si>
  <si>
    <t>Márai Látogatóközpont fejlesztési feladata</t>
  </si>
  <si>
    <t>Önként feladat összesen:</t>
  </si>
  <si>
    <t>Magyar Paralimpiai Bizottság - IWAS Kerekesszékes Vívó Világkupa támogatása</t>
  </si>
  <si>
    <t xml:space="preserve">Magyar Búvár Szakszövetség - XIII. CMAS Uszonyosúszó Világkupa támogatása </t>
  </si>
  <si>
    <t>Magyar Nemzeti Autósport Szövetség - Eger Rallye támogatása</t>
  </si>
  <si>
    <t>Jótékonysági akcióval összefüggő kiadások</t>
  </si>
  <si>
    <t>Kulturális és közösségi terek infrastrukturális fejlesztése és helyi közösségszervezés a városi helyi fejlesztési stratégiához kapcsolódva</t>
  </si>
  <si>
    <t>Média Eger Nonprofit Kft - KULTURMA támogatása</t>
  </si>
  <si>
    <t>Térinformatikai adatokkal összefüggő kiadások</t>
  </si>
  <si>
    <t>Agria Speciális Mentő és Tűzoltó Csoport támogatása</t>
  </si>
  <si>
    <t>Eger Termál Kft támogatása</t>
  </si>
  <si>
    <t>Egri Tankerületi Központnak Egri Balassi Bálint Általános Iskola tanuszodájának felújításához</t>
  </si>
  <si>
    <t>Eger Városi Turisztikai Közhasznú Nonprofit Kft-nek a Központi jegyiroda létrehozásához</t>
  </si>
  <si>
    <t>MVP beruházások tartaléka állampapír kamata miatt</t>
  </si>
  <si>
    <t>Pályázati tartalék</t>
  </si>
  <si>
    <t>További végzettség miatti illetménynövelés és kettős bérigény tartaléka</t>
  </si>
  <si>
    <t>Magyar Államkincstárnak 2018. évre megelőlegezett támogatás visszafizetése</t>
  </si>
  <si>
    <t>VII. fejezet: Költségvetési befizetések</t>
  </si>
  <si>
    <t>Helyi önkormányzatok általalános működésének és ágazati feladatainak támogatása 2017. évi elszámolása</t>
  </si>
  <si>
    <t>VII. fejezet összesen:</t>
  </si>
  <si>
    <t>Közösségi együttélés szabályainak megsértésével kapcsolatos bírság</t>
  </si>
  <si>
    <t>Parkolási pótdíj</t>
  </si>
  <si>
    <t>Kéményseprőipari tevékenység önkormányzatot megillető részére</t>
  </si>
  <si>
    <t>ÁFA visszatérülés</t>
  </si>
  <si>
    <t>MVP pályázatokhoz kapcsolódó állampapír kamata</t>
  </si>
  <si>
    <t>Családi bölcsőde</t>
  </si>
  <si>
    <t>Bölcsőde, minibölcsőde támogatása</t>
  </si>
  <si>
    <t>Finanszírozási szempontból elismert dolgozók bértámogatása</t>
  </si>
  <si>
    <t>Helyi foglalkoztatási együttműködés - Eger Megyei Jogú Város Foglalkoztatási Paktuma TOP támogatás</t>
  </si>
  <si>
    <t>Társadalmi együttműködés erősítése a Szala városrészben TOP támogatás</t>
  </si>
  <si>
    <t>Kulturális és közösségi terek infrastrukturális fejlesztése és helyi közösségszervezés a városi helyi fejlesztési stratégiához kapcsolódva TOP támogatás</t>
  </si>
  <si>
    <t>Csiky Sándor utca és Maczky Valér utca csapadékvíz-elvezetés felújítása TOP támogatás</t>
  </si>
  <si>
    <t>Csiky Sándor utca és Maczky Valér utca út- és közterület felújítása TOP támogatás</t>
  </si>
  <si>
    <t>Épületenergetikai rekonstrukció Egerben az Idősek Berva-völgyi Otthonában TOP támogatás</t>
  </si>
  <si>
    <t>Egészségügyi Alapellátás fejlesztése Egerben TOP támogatás</t>
  </si>
  <si>
    <t>Óvodák energetikai korszerűsítése Egerben TOP támogatás</t>
  </si>
  <si>
    <t>A Vitkovics Ház energetikai rekonstrukciója TOP támogatás</t>
  </si>
  <si>
    <t>Déli Iparterület fenntartható városi közlekedésfejlesztése TOP támogatás</t>
  </si>
  <si>
    <t>Kertész utcai óvoda építése TOP támogatás</t>
  </si>
  <si>
    <t>Eger, Déli Városrész közlekedésfejlesztése Sas u. TOP támogatás</t>
  </si>
  <si>
    <t>Családbarát bölcsődei közszolgáltatások fejlesztése Egerben TOP támogatás</t>
  </si>
  <si>
    <t>Felnémeti alközpont fejlesztése TOP támogatás</t>
  </si>
  <si>
    <t>Belvárosi terek komplex megújítása TOP támogatás</t>
  </si>
  <si>
    <t>Lajosvárosban a Köztársaság terén komplex egészségügyi központ fejlesztése TOP támogatás</t>
  </si>
  <si>
    <t>Déli iparterület alapinfrastruktúra fejlesztése TOP támogatás</t>
  </si>
  <si>
    <t>Művészeti és  szabadidő komplexum kialakítása és turisztikai attrakcióvá történő fejlesztése Egerben TOP támogatás</t>
  </si>
  <si>
    <t>Eger, Malom u. fenntartható városi közlekedésfejlesztése TOP támogatás</t>
  </si>
  <si>
    <t>Leromlott városi területek rehabilitációja Egerben TOP támogatás</t>
  </si>
  <si>
    <t>Szociális alapszolgáltatások infrastrukturájának fejlesztése egri intézményekben TOP támogatás</t>
  </si>
  <si>
    <t>Családbarát közszolgáltatások fejlesztése TOP támogatás</t>
  </si>
  <si>
    <t>Szociális és Gyermekvédelmi Főigazgatóságtól utcai szociális munkához</t>
  </si>
  <si>
    <t>Szociális és Gyermekvédelmi Főigazgatóságtól - Fejlesztő foglalkoztatásra</t>
  </si>
  <si>
    <t>Miniszterelnökségtől MVP keretében a Déli iparterület infrastrukturális fejlesztésére</t>
  </si>
  <si>
    <t>Miniszterelnökségtől MVP keretében a Nemzeti Vízilabda és Úszóközponthoz</t>
  </si>
  <si>
    <t>Miniszterelnökségtől MVP keretében az Egri Vár és erődrendszer turisztikai célú fejlesztésére</t>
  </si>
  <si>
    <t>Napelempark fejlesztése Egerben TOP támogatás</t>
  </si>
  <si>
    <t xml:space="preserve">Szociális és Gyermekvédelmi Főigazgatóságtól - Utcai szociális munkához gépjármű beszerzésre </t>
  </si>
  <si>
    <t>Önkormányzati költségvetési szervek Felhalmozási célú támogatás államháztartáson belülről  az EP-től</t>
  </si>
  <si>
    <t>Önkormányzati költségvetési szervek egyéb felhalmozási kiadások</t>
  </si>
  <si>
    <t xml:space="preserve">Vár rekonstrukcióval összefüggő egyéb felújítási kiadások </t>
  </si>
  <si>
    <t>Ivóvízvezetéket érintő fejlesztések</t>
  </si>
  <si>
    <t>Szennyvízvezetéket érintő fejlesztések</t>
  </si>
  <si>
    <t>Rászoruló gyermekek szünidei étkeztetésének támogatása</t>
  </si>
  <si>
    <t>Alapítvány a Komplex Kultúrakutatásért - Kepes Intézet múzeumi közművelődési tevékenység támogatása</t>
  </si>
  <si>
    <t>Költségvetési befizetések</t>
  </si>
  <si>
    <t>Önkormányzati költségvetési szervek közhatalmi bevételek</t>
  </si>
  <si>
    <t>Önkormányzati költségvetési szervek működési bevételek</t>
  </si>
  <si>
    <t>Önkormányzati költségvetési szervek működési célú átvett pénzeszköz</t>
  </si>
  <si>
    <t>Arnaut Pasa Fürdője Gyógyászati Kft támogatása</t>
  </si>
  <si>
    <t>2018. évi  eredeti előirányzat</t>
  </si>
  <si>
    <t>2018. évi eredeti előirányzat</t>
  </si>
  <si>
    <t>2017. évi maradvány</t>
  </si>
  <si>
    <t>Összesen</t>
  </si>
  <si>
    <t xml:space="preserve">2018. évi eredeti előirányzat </t>
  </si>
  <si>
    <t>Finanszírozási bevétel maradványból</t>
  </si>
  <si>
    <t>Termőföld bérbeadás utáni SZJA</t>
  </si>
  <si>
    <t>Egyéb maradvány</t>
  </si>
  <si>
    <t>Körforgalmi szigetek beépítése</t>
  </si>
  <si>
    <t>"Kutyabarát Eger program"</t>
  </si>
  <si>
    <t>Bormarketing feladatok</t>
  </si>
  <si>
    <t>Fordított ÁFA - MVP vár</t>
  </si>
  <si>
    <t>Fordított ÁFA - TOP pályázatok előkészítési és megvalósítási feladatai</t>
  </si>
  <si>
    <t xml:space="preserve">Fordított ÁFA - Vagyoni jellegű kiadások </t>
  </si>
  <si>
    <t xml:space="preserve">Fordított ÁFA - TOP Déli iparterület alapinfrastruktúra fejlesztés </t>
  </si>
  <si>
    <t>Városi közszolgáltatások fejlesztése (helyzetfelmérés, javaslatok)</t>
  </si>
  <si>
    <t>Városi kiadványokkal összefüggő kiadások</t>
  </si>
  <si>
    <t>Egri Hangok Ősszel</t>
  </si>
  <si>
    <t>Intézményvezetők szakmai tanulmányútja</t>
  </si>
  <si>
    <t>"Eger Megyei Jogú Város Önkormányzata ASP Központhoz való csatlakozás" pályázattal összefüggő kiadások</t>
  </si>
  <si>
    <t>Címkézett iparűzési adó</t>
  </si>
  <si>
    <t>Adózók által alapítványok részére</t>
  </si>
  <si>
    <t>Egyesületek, társadalmi szervezetek részére</t>
  </si>
  <si>
    <t>Média Eger Nonprofit Kft - Advent támogatása</t>
  </si>
  <si>
    <t>Lakásvásárlás</t>
  </si>
  <si>
    <t>Városi közösségi közlekedés fejlesztésének előkészítése</t>
  </si>
  <si>
    <t>ITP, stratégiák, koncepciók módosítása, nyomonkövetése</t>
  </si>
  <si>
    <t>Vagyonnal kapcsolatos kiadások (121-139 címszám) összesen:</t>
  </si>
  <si>
    <t>Intézmények tervszerű kisfelújítása</t>
  </si>
  <si>
    <t>I. Világháborús hadisírok és emlékművek felújításához benyújtott pályázat önereje</t>
  </si>
  <si>
    <t>Egyéb tárgyi eszköz beszerzés</t>
  </si>
  <si>
    <t>Köztéri alkotások létesítése, rekontsrukciója</t>
  </si>
  <si>
    <t>Szerkezeti terv módosítása</t>
  </si>
  <si>
    <t>Térfigyelő kamerarendszer bővítés</t>
  </si>
  <si>
    <t>Erdőtelepítés megvalósítása</t>
  </si>
  <si>
    <t>Déli iparterület fejlesztéséhez városi fő szennyvízvezeték kiváltása</t>
  </si>
  <si>
    <t>Ebtartással összefüggő közterületi fejlesztések</t>
  </si>
  <si>
    <t>Borturisztikai alkalmazások fejlesztése</t>
  </si>
  <si>
    <t>Deák Ferenc úti óvoda kerítés újjáépítése</t>
  </si>
  <si>
    <t>Termálkút fejlesztés</t>
  </si>
  <si>
    <t>"Eger Megyei Jogú Város Önkormányzata ASP Központhoz való csatlakozása" pályázattal összefüggő kiadásai</t>
  </si>
  <si>
    <t>EVAT ZRT törzsbetét növelése</t>
  </si>
  <si>
    <t>Részesedések növelése (301 címszám) összesen:</t>
  </si>
  <si>
    <t>Társasházak homlokzat felújítása</t>
  </si>
  <si>
    <t>Iparosított technológiás lakóépületek energiatakarékos rekonstrukciója</t>
  </si>
  <si>
    <t>Önerős közmű támogatás</t>
  </si>
  <si>
    <t>Adózók által egyesületek, költségvetési szervek részére</t>
  </si>
  <si>
    <t xml:space="preserve">Címkézett iparűzési adó </t>
  </si>
  <si>
    <t>Rozália u. útépítéshez kapcsolódó hozzájárulás</t>
  </si>
  <si>
    <t>Egri Úszóklub Sportegyesület felhalmozási támogatása</t>
  </si>
  <si>
    <t>Gyergyószentmiklósi felhalmozási célú támogatás</t>
  </si>
  <si>
    <t>Magánerővel megvalósuló külterületi útépítés támogatása</t>
  </si>
  <si>
    <t>Bérkompenzációhoz kapcsolódó tartalék</t>
  </si>
  <si>
    <t>Szociális ágazat összevont pótlék és egészségügyi kiegészítő pótlék tartaléka</t>
  </si>
  <si>
    <t>Kulturális illetménypótlék tartaléka</t>
  </si>
  <si>
    <t>Gépkocsi parkolóhely kialakítás tartaléka</t>
  </si>
  <si>
    <t xml:space="preserve">Kamatfizetési kötelezettség </t>
  </si>
  <si>
    <t>2017. évi kiegészítő támogatások és egyéb kötött felhasználása támogatások elszámolása miatt</t>
  </si>
  <si>
    <t>Jelzőrendszeres házi segítségnyújtás 2017. évi támogatása elszámolása miatt</t>
  </si>
  <si>
    <t>Önkormányzati részesedések növelése</t>
  </si>
  <si>
    <t>Finanszírozási célú bevétel maradványból</t>
  </si>
  <si>
    <t>Önkormányzati költségvetési szervek finanszírozási célú bevétel maradványból</t>
  </si>
  <si>
    <t>Állampapír vásárlással összefüggő egyéb kiadások</t>
  </si>
  <si>
    <t>Helyi foglalkoztatási együttműködés, ITP módosítás, GINOP turisztikai tanulmányterv stb.</t>
  </si>
  <si>
    <t>Lakásértékesítéssel összefüggő tartalék</t>
  </si>
  <si>
    <t>Magyarországi Légimentésért Alapítvány felhalmozási támogatása</t>
  </si>
  <si>
    <t>Pótelőirányzat</t>
  </si>
  <si>
    <t>Közgyűlési döntés</t>
  </si>
  <si>
    <t>Átvett pénz-eszközök és támogatások ÁH-n belülről</t>
  </si>
  <si>
    <t>Intézményi saját hatáskör</t>
  </si>
  <si>
    <t>Polgármesteri saját hatáskör</t>
  </si>
  <si>
    <t>2018. június 30-i módosított előirányzat</t>
  </si>
  <si>
    <t>M Ó D O S Í T Á S O K</t>
  </si>
  <si>
    <t>Szent József forrás környezetének felújítása</t>
  </si>
  <si>
    <t>Egyéb felhalmozási célú kiadások</t>
  </si>
  <si>
    <t>Személyi jutttatások</t>
  </si>
  <si>
    <t>Zöldfelület fejlesztés beruházási kiadásai</t>
  </si>
  <si>
    <t>Egri Vízmű SC részére visszatérítendő támogatás nyújtása</t>
  </si>
  <si>
    <t>Állatokat Védjük Együtt Alapítvány - gyepmesteri tevékenység támogatása</t>
  </si>
  <si>
    <t>Fordított ÁFA - TOP egészségügyi alapellátás fejlesztése Egerben</t>
  </si>
  <si>
    <t>Fordított ÁFA - Termálkút fejlesztés</t>
  </si>
  <si>
    <t>Egyéb  működési célú kiadások</t>
  </si>
  <si>
    <t>Rendszeres gyermekvédelmi ellátásban részesülők természetbeni támogatása</t>
  </si>
  <si>
    <t>Gyermekek átmeneti gondozásával összefüggő kiadások</t>
  </si>
  <si>
    <t>Közigazgatási bírság bevétel</t>
  </si>
  <si>
    <t>Egyéb készletértékesítés</t>
  </si>
  <si>
    <t>Egyéb szolgáltatások ellenértéke</t>
  </si>
  <si>
    <t>Kötbér, bírság, egyéb kártérítés</t>
  </si>
  <si>
    <t>Egyéb pénzügyi műveletek bevételei</t>
  </si>
  <si>
    <t>Immateriális javak értékesítése</t>
  </si>
  <si>
    <t>2017. évi december havi bérkompenzáció</t>
  </si>
  <si>
    <t>Szociális ágazati összevont pótlék</t>
  </si>
  <si>
    <t>Szociális ágazatban  kiegészítő egészségügyi pótlék</t>
  </si>
  <si>
    <t>Szociális ágazatban kiegészítő egészségügyi pótlék</t>
  </si>
  <si>
    <t>Könyvtári célú érdekeltségnövelő támogatás</t>
  </si>
  <si>
    <t>Kulturális illetménypótlék</t>
  </si>
  <si>
    <t>Működési célú költségvetési támogatások és kiegészítő támogatások</t>
  </si>
  <si>
    <t>2018. évi bérkompenzáció</t>
  </si>
  <si>
    <t>Fejlődjünk hogy fejleszthessünk EFOP támogatás</t>
  </si>
  <si>
    <t>Felsőváros Csillagai - közösen a közösségért TOP támogatás</t>
  </si>
  <si>
    <t>Munkaügyi Központtól közfoglalkoztatásra</t>
  </si>
  <si>
    <t>Nemzeti Fejlesztési Minisztériumtól - Mobilitási Hét - Autómentes Nap lebonyolításához</t>
  </si>
  <si>
    <t>Szociális és Gyermekvédelmi Főigazgatóságtól KEF Mindennapok, kibontakozás programhoz</t>
  </si>
  <si>
    <t>Szociális és Gyermekvédelmi Főigazgatóságtól KEF Szakmai tapasztalatcsere megvalósításához</t>
  </si>
  <si>
    <t>Szociális és Gyermekvédelmi Főigazgatóságtól - Jelzőrendszeres házi segítségnyújtáshoz</t>
  </si>
  <si>
    <t>Lakosságtól földvédelmi járulék megtérítése</t>
  </si>
  <si>
    <t>Rozália dűlő 5805/6. hrsz útépítéshez pótbefizetés</t>
  </si>
  <si>
    <t>Egri Vízmű SC felhalmozási célú visszatérítendő támogatás visszatérülése</t>
  </si>
  <si>
    <t>Helyi önkormányzatok működési célú támogatások és kiegészítő támogatások</t>
  </si>
  <si>
    <t>Felhalmozási és tőke jellegű bevételek</t>
  </si>
  <si>
    <t>Önkormányzatoktól köztemetésre</t>
  </si>
  <si>
    <t>Területi infrastrukturális fejlesztések felújítással érintett feladatai</t>
  </si>
  <si>
    <t>Területi infrastrukturális fejlesztések beruházással érintett feladatai</t>
  </si>
  <si>
    <t>Pót-előirányzat</t>
  </si>
  <si>
    <t>Heves Megyei Rendőr-főkapitányság támogatása</t>
  </si>
  <si>
    <t>Fejlődjünk, hogy fejleszthessünk program megvalósítása EFOP támogatással</t>
  </si>
  <si>
    <t>2018. szeptember 30-i módosított előirányzat</t>
  </si>
  <si>
    <t>Praxisközösség létrehozása Egerben EFOP pályázattal</t>
  </si>
  <si>
    <t>Diákfoglalkoztatás</t>
  </si>
  <si>
    <t>Y Vállalkozói Egyesület - Fiatal Vállalkozói Program támogatása</t>
  </si>
  <si>
    <t>Fordított ÁFA - TOP Csiky Sándor utca és Macky Valér utca csapadékelvezetés felújítása</t>
  </si>
  <si>
    <t>Fordított ÁFA - TOP Déli iparterület fenntartható városi közlekedésfejlesztése</t>
  </si>
  <si>
    <t xml:space="preserve">Fordított ÁFA - Zöldfelület fejlesztés beruházási feladatai </t>
  </si>
  <si>
    <t>Magyar Ökölvívó Szakszövetség - Bornemissza Gergely Nemzetközi Utánpótlás Ökölvívó verseny támogatása</t>
  </si>
  <si>
    <t>Praxisközösség létrehozása EFOP pályázattal</t>
  </si>
  <si>
    <t>Egri Városszépítő Egyesület - Kracker szoborállítás és Legányi síremlék felújítás támogatása</t>
  </si>
  <si>
    <t>Környezetvédelmi bírság</t>
  </si>
  <si>
    <t>Óvodai és iskola szociális segítő tevékenység támogatása</t>
  </si>
  <si>
    <t>Bölcsőde üzemeltetés támogatása</t>
  </si>
  <si>
    <t>Jó adatszolgáltató önkormányzatok támogatása</t>
  </si>
  <si>
    <t>Felhalmozási célú önkormányzati támogatások</t>
  </si>
  <si>
    <t>Közművelődési érdekeltségnövelő támogatás</t>
  </si>
  <si>
    <t>Természetbeni ellátások Erzsébet utalvánnyal</t>
  </si>
  <si>
    <t>Agrárminisztériumtól XXII. Bikavér Ünnep Szent Donát napján rendezvényhez támogatás</t>
  </si>
  <si>
    <t>Heves Megyei Kereskedelmi és Iparkamarától Eger Város Ösztöndíjasa címhez</t>
  </si>
  <si>
    <t>Íj utca - Buzogány utca iszapfogó rendszer kiépítése</t>
  </si>
  <si>
    <t>Egri Markhot Ferenc Oktatókórház felhalmozási támogatása</t>
  </si>
  <si>
    <t>Heves Megyei Kormányhivataltól Nyári diákmunka program támogatása</t>
  </si>
  <si>
    <t>2018. december 31-i módosított előirányzat</t>
  </si>
  <si>
    <t>2018. december 31-i teljesítés</t>
  </si>
  <si>
    <t>Pü-i telj. %-a</t>
  </si>
  <si>
    <t>1. melléklet a .../2019. (……...) rendelethez</t>
  </si>
  <si>
    <t>2. melléklet a .../2019. (…….) rendelethez</t>
  </si>
  <si>
    <t>Pü-i teljesítés %-a</t>
  </si>
  <si>
    <t>3. melléklet a .../2019. (…..) rendelethez</t>
  </si>
  <si>
    <t>3/b melléklet a .../2019. (…….) rendelethez</t>
  </si>
  <si>
    <t>3/c melléklet .../2019. (…….) rendelethez</t>
  </si>
  <si>
    <t>Infrastrukturális fejlesztések támogatása</t>
  </si>
  <si>
    <t>Helyi közösségi közlekedés támogatása</t>
  </si>
  <si>
    <t>Téli rezsicsökkentésben korábban nem részesült háztartások támogatása</t>
  </si>
  <si>
    <t>Vis maior támogatás a Mekcsey u. pincebeszakadás miatt</t>
  </si>
  <si>
    <t>Járásszékhely múzeumok szakmai támogatása</t>
  </si>
  <si>
    <t xml:space="preserve">Agrárminisztériumtól Nemzeti értékek és hungarikumok pályázat Értéktár kiadványhoz támogatás </t>
  </si>
  <si>
    <t>Települési Önkormányzatok Országos Szövetségétől Legjobb Önkormányzati gyakorlatok program II. díjra "Közös többszörös"</t>
  </si>
  <si>
    <t>Magyar Államkincstártól 2019. évi megelőlegezett támogatás</t>
  </si>
  <si>
    <t>Egyéb közhatalmi bevétel</t>
  </si>
  <si>
    <t>Heves Megyei Vízmű Zrt víziközmű használati díj</t>
  </si>
  <si>
    <t>Fordított ÁFA - TOP Eger, Malom u. fenntartható városi közlekedésfejlesztése</t>
  </si>
  <si>
    <t>Fordított ÁFA - TOP Vitkovics Ház energetikai rekonstrukciója</t>
  </si>
  <si>
    <t>Fordított ÁFA - Ingatlanvásárlás</t>
  </si>
  <si>
    <t>Fordított ÁFA - TOP Belvárosi terek komplex megújítása</t>
  </si>
  <si>
    <t>Fordított ÁFA - TOP Szociális alapszolgáltatások infrastruktúrájának fejlesztése egri intézményekben</t>
  </si>
  <si>
    <t>Fordított ÁFA - Pince és partfal veszélyelhárítás</t>
  </si>
  <si>
    <t>"A helyi identitás és kohézió erősítése Felsőváros Csillagai - közösen a közösségért" pályázattal összefüggő kiadások</t>
  </si>
  <si>
    <t>Többgenerációs aktív kulturális közösségi tér kialakítása a Gárdonyi Kert továbbfejlesztésével</t>
  </si>
  <si>
    <t>"Közös-többszörös"-a településen élő romák és nem romák példaértékű közösségi tevékenységei, programjai" c. pályázattal összefüggő kiadások</t>
  </si>
  <si>
    <t>Téli rezsicsökkentésben nem részesült háztartások támogatásával összefüggő kiadások</t>
  </si>
  <si>
    <t>Működési kiadások (1-74 címszám) összesen:</t>
  </si>
  <si>
    <t>Felújítási kiadások  (141-154 címszám) összesen:</t>
  </si>
  <si>
    <t>Többgenerációs aktív kulturális - közösségi tér kialakítása a Gárdonyi Kert továbbfejlesztésével</t>
  </si>
  <si>
    <t>Kis- és középberuházások kiadásai (206-238 címszám) összesen:</t>
  </si>
  <si>
    <t>Eger MJV Önkormányzata infrastrukturális fejlesztéseinek támogatása 1493/2018. Korm.határozat alapján</t>
  </si>
  <si>
    <t>Déli iparterületen szennyvíz főgyűjtővezeték kiváltás</t>
  </si>
  <si>
    <t>Déli iparterületen csapadékvíz elvezető rendszer kialakítása</t>
  </si>
  <si>
    <t>AT-11 kút rendszerbeállítás</t>
  </si>
  <si>
    <t>AT8 termálvezeték rekonstrukciója</t>
  </si>
  <si>
    <t>Az egri vár részét képező Zárkándy-bástya helyreállítása, állagmegóvása, II. szakaszának megvalósítása</t>
  </si>
  <si>
    <t>Egri Vár megközelítéséhez kapcsolódó lift megvalósítása</t>
  </si>
  <si>
    <t>Megvalósítással összefüggő szakértői feladatok</t>
  </si>
  <si>
    <t>,</t>
  </si>
  <si>
    <t>"Közös-többszörös - A településen élő romák és nem romák példaértékű közösségi tevékenységek, programjai" című pályázattal összefüggő kiadások</t>
  </si>
  <si>
    <t>Eger Termál Kft - Bárány uszoda eszközbeszerzés</t>
  </si>
  <si>
    <t>Agria Speciális Mentő és Tűzoltó Csoport felhalmozási támogatása</t>
  </si>
  <si>
    <t>Heves Megyei Katasztrófavédelmi Igazgatóság felhalmozási támogatás</t>
  </si>
  <si>
    <t>Egri Ruszin Önkormányzat felhalmozási célú támogatása</t>
  </si>
  <si>
    <t>Magyar Államkincstárnak 2019. évre megelőlegezett támogatás visszafizetése</t>
  </si>
  <si>
    <t>3/a melléklet a .../2019. (…….) rendelethez</t>
  </si>
  <si>
    <t>Nyitó pénzkészlet:</t>
  </si>
  <si>
    <t>Költségvetési bevételek (maradvány igénybevétele nélkül) (+):</t>
  </si>
  <si>
    <t>Költségvetési kiadások (-):</t>
  </si>
  <si>
    <t>Csak pénzügyi számviteli tételek forgalma:</t>
  </si>
  <si>
    <t>Záró pénzkészlet:</t>
  </si>
  <si>
    <t>Diáktanácsok, ifjúsági közösségek működése</t>
  </si>
  <si>
    <t>Eger Város Védőnői a Családokért Alapítvány - bárányhimlő elleni védőoltás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</si>
</sst>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#\ ###"/>
    <numFmt numFmtId="165" formatCode="#\ ##0\ \ "/>
    <numFmt numFmtId="166" formatCode="#,###,###"/>
  </numFmts>
  <fonts count="35">
    <font>
      <sz val="10"/>
      <name val="MS Sans Serif"/>
    </font>
    <font>
      <sz val="10"/>
      <name val="MS Sans Serif"/>
      <family val="2"/>
      <charset val="238"/>
    </font>
    <font>
      <sz val="10"/>
      <name val="H-Times New Roman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sz val="9.4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sz val="14"/>
      <name val="Times New Roman CE"/>
      <charset val="238"/>
    </font>
    <font>
      <sz val="10.8"/>
      <name val="Times New Roman CE"/>
      <family val="1"/>
      <charset val="238"/>
    </font>
    <font>
      <b/>
      <sz val="12"/>
      <name val="Times New Roman CE"/>
      <charset val="238"/>
    </font>
    <font>
      <sz val="8"/>
      <name val="Times New Roman CE"/>
      <charset val="238"/>
    </font>
    <font>
      <sz val="9"/>
      <name val="Times New Roman CE"/>
      <charset val="238"/>
    </font>
    <font>
      <b/>
      <sz val="10"/>
      <name val="MS Sans Serif"/>
      <family val="2"/>
      <charset val="238"/>
    </font>
    <font>
      <b/>
      <sz val="14"/>
      <name val="Times New Roman CE"/>
      <charset val="238"/>
    </font>
    <font>
      <b/>
      <sz val="11"/>
      <name val="Times New Roman"/>
      <family val="1"/>
      <charset val="238"/>
    </font>
    <font>
      <b/>
      <sz val="9"/>
      <name val="Times New Roman CE"/>
      <charset val="238"/>
    </font>
    <font>
      <i/>
      <sz val="9"/>
      <name val="Times New Roman CE"/>
      <charset val="238"/>
    </font>
    <font>
      <i/>
      <sz val="10"/>
      <name val="Times New Roman CE"/>
      <charset val="238"/>
    </font>
    <font>
      <b/>
      <sz val="16"/>
      <name val="Times New Roman CE"/>
      <family val="1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MS Sans Serif"/>
      <family val="2"/>
      <charset val="238"/>
    </font>
  </fonts>
  <fills count="2">
    <fill>
      <patternFill patternType="none"/>
    </fill>
    <fill>
      <patternFill patternType="gray125"/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dashed">
        <color indexed="8"/>
      </top>
      <bottom style="dashed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ed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8"/>
      </top>
      <bottom style="dash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dashed">
        <color indexed="8"/>
      </top>
      <bottom style="dashed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8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8"/>
      </bottom>
      <diagonal/>
    </border>
    <border>
      <left/>
      <right/>
      <top style="dashed">
        <color indexed="64"/>
      </top>
      <bottom style="dashed">
        <color indexed="8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8"/>
      </left>
      <right style="thin">
        <color indexed="8"/>
      </right>
      <top style="dashed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8"/>
      </top>
      <bottom style="dash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8"/>
      </left>
      <right style="thin">
        <color indexed="64"/>
      </right>
      <top style="dashed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dashed">
        <color indexed="8"/>
      </top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ashed">
        <color indexed="8"/>
      </bottom>
      <diagonal/>
    </border>
    <border>
      <left style="thin">
        <color indexed="8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dotted">
        <color indexed="64"/>
      </top>
      <bottom/>
      <diagonal/>
    </border>
    <border>
      <left style="thin">
        <color indexed="8"/>
      </left>
      <right style="thin">
        <color indexed="8"/>
      </right>
      <top style="dotted">
        <color indexed="64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8"/>
      </bottom>
      <diagonal/>
    </border>
    <border>
      <left style="thin">
        <color indexed="8"/>
      </left>
      <right/>
      <top style="dotted">
        <color indexed="64"/>
      </top>
      <bottom/>
      <diagonal/>
    </border>
    <border>
      <left style="thin">
        <color indexed="8"/>
      </left>
      <right/>
      <top style="dotted">
        <color indexed="64"/>
      </top>
      <bottom style="dashed">
        <color indexed="64"/>
      </bottom>
      <diagonal/>
    </border>
    <border>
      <left style="thin">
        <color indexed="8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dashed">
        <color indexed="8"/>
      </top>
      <bottom style="thin">
        <color indexed="64"/>
      </bottom>
      <diagonal/>
    </border>
    <border>
      <left style="thin">
        <color auto="1"/>
      </left>
      <right/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dashed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dashed">
        <color indexed="64"/>
      </top>
      <bottom style="dashed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auto="1"/>
      </right>
      <top/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3" fontId="2" fillId="0" borderId="0">
      <alignment horizontal="right" vertical="center"/>
    </xf>
  </cellStyleXfs>
  <cellXfs count="994">
    <xf numFmtId="0" fontId="0" fillId="0" borderId="0" xfId="0"/>
    <xf numFmtId="0" fontId="13" fillId="0" borderId="0" xfId="0" applyFont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3" fontId="6" fillId="0" borderId="8" xfId="2" applyFont="1" applyFill="1" applyBorder="1" applyAlignment="1">
      <alignment horizontal="centerContinuous" vertical="center"/>
    </xf>
    <xf numFmtId="3" fontId="7" fillId="0" borderId="8" xfId="2" applyFont="1" applyFill="1" applyBorder="1" applyAlignment="1">
      <alignment horizontal="centerContinuous" vertical="center" wrapText="1"/>
    </xf>
    <xf numFmtId="3" fontId="7" fillId="0" borderId="0" xfId="2" applyFont="1" applyFill="1" applyBorder="1" applyAlignment="1">
      <alignment horizontal="centerContinuous" vertical="center"/>
    </xf>
    <xf numFmtId="3" fontId="6" fillId="0" borderId="0" xfId="2" applyFont="1" applyFill="1" applyBorder="1" applyAlignment="1">
      <alignment horizontal="centerContinuous" vertical="center"/>
    </xf>
    <xf numFmtId="3" fontId="7" fillId="0" borderId="0" xfId="2" applyFont="1" applyFill="1" applyBorder="1" applyAlignment="1">
      <alignment horizontal="centerContinuous" vertical="center" wrapText="1"/>
    </xf>
    <xf numFmtId="3" fontId="16" fillId="0" borderId="0" xfId="2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left" vertical="center" wrapText="1"/>
    </xf>
    <xf numFmtId="166" fontId="14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166" fontId="20" fillId="0" borderId="0" xfId="0" applyNumberFormat="1" applyFont="1" applyAlignment="1">
      <alignment horizontal="left" vertical="center" wrapText="1"/>
    </xf>
    <xf numFmtId="164" fontId="1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3" fontId="6" fillId="0" borderId="19" xfId="2" applyFont="1" applyFill="1" applyBorder="1" applyAlignment="1">
      <alignment horizontal="centerContinuous" vertical="center"/>
    </xf>
    <xf numFmtId="3" fontId="7" fillId="0" borderId="19" xfId="2" applyFont="1" applyFill="1" applyBorder="1" applyAlignment="1">
      <alignment horizontal="centerContinuous" vertical="center" wrapText="1"/>
    </xf>
    <xf numFmtId="3" fontId="7" fillId="0" borderId="8" xfId="2" applyFont="1" applyFill="1" applyBorder="1" applyAlignment="1">
      <alignment horizontal="centerContinuous" vertical="center"/>
    </xf>
    <xf numFmtId="0" fontId="14" fillId="0" borderId="0" xfId="0" applyFont="1" applyFill="1" applyAlignment="1">
      <alignment vertical="center"/>
    </xf>
    <xf numFmtId="3" fontId="15" fillId="0" borderId="1" xfId="2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3" fontId="7" fillId="0" borderId="7" xfId="2" applyFont="1" applyFill="1" applyBorder="1" applyAlignment="1">
      <alignment horizontal="center" vertical="center"/>
    </xf>
    <xf numFmtId="3" fontId="7" fillId="0" borderId="0" xfId="2" applyFont="1" applyFill="1" applyBorder="1" applyAlignment="1">
      <alignment horizontal="center" vertical="center"/>
    </xf>
    <xf numFmtId="3" fontId="6" fillId="0" borderId="31" xfId="2" applyFont="1" applyFill="1" applyBorder="1" applyAlignment="1">
      <alignment horizontal="centerContinuous" vertical="center"/>
    </xf>
    <xf numFmtId="3" fontId="7" fillId="0" borderId="31" xfId="2" applyFont="1" applyFill="1" applyBorder="1" applyAlignment="1">
      <alignment horizontal="centerContinuous" vertical="center" wrapText="1"/>
    </xf>
    <xf numFmtId="3" fontId="7" fillId="0" borderId="0" xfId="2" applyFont="1" applyFill="1" applyBorder="1" applyAlignment="1">
      <alignment horizontal="centerContinuous"/>
    </xf>
    <xf numFmtId="3" fontId="7" fillId="0" borderId="19" xfId="2" applyFont="1" applyFill="1" applyBorder="1" applyAlignment="1">
      <alignment horizontal="centerContinuous"/>
    </xf>
    <xf numFmtId="3" fontId="7" fillId="0" borderId="14" xfId="2" applyFont="1" applyFill="1" applyBorder="1" applyAlignment="1">
      <alignment horizontal="centerContinuous"/>
    </xf>
    <xf numFmtId="0" fontId="21" fillId="0" borderId="5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3" fontId="7" fillId="0" borderId="34" xfId="2" applyFont="1" applyFill="1" applyBorder="1" applyAlignment="1">
      <alignment horizontal="center" vertical="center"/>
    </xf>
    <xf numFmtId="3" fontId="7" fillId="0" borderId="35" xfId="2" applyFont="1" applyFill="1" applyBorder="1" applyAlignment="1">
      <alignment horizontal="center" vertical="center"/>
    </xf>
    <xf numFmtId="3" fontId="7" fillId="0" borderId="36" xfId="2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7" fillId="0" borderId="22" xfId="1" applyFont="1" applyFill="1" applyBorder="1" applyAlignment="1">
      <alignment horizontal="left" vertical="center"/>
    </xf>
    <xf numFmtId="3" fontId="7" fillId="0" borderId="2" xfId="2" applyFont="1" applyFill="1" applyBorder="1" applyAlignment="1">
      <alignment horizontal="center" vertical="center" wrapText="1"/>
    </xf>
    <xf numFmtId="3" fontId="16" fillId="0" borderId="0" xfId="2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3" fontId="7" fillId="0" borderId="1" xfId="2" applyNumberFormat="1" applyFont="1" applyFill="1" applyBorder="1" applyAlignment="1">
      <alignment horizontal="right" vertical="center"/>
    </xf>
    <xf numFmtId="3" fontId="16" fillId="0" borderId="1" xfId="2" applyNumberFormat="1" applyFont="1" applyFill="1" applyBorder="1" applyAlignment="1">
      <alignment horizontal="right" vertical="center"/>
    </xf>
    <xf numFmtId="3" fontId="16" fillId="0" borderId="38" xfId="2" applyNumberFormat="1" applyFont="1" applyFill="1" applyBorder="1" applyAlignment="1">
      <alignment horizontal="right" vertical="center"/>
    </xf>
    <xf numFmtId="3" fontId="16" fillId="0" borderId="37" xfId="2" applyNumberFormat="1" applyFont="1" applyFill="1" applyBorder="1" applyAlignment="1">
      <alignment horizontal="right" vertical="center"/>
    </xf>
    <xf numFmtId="3" fontId="16" fillId="0" borderId="2" xfId="2" applyNumberFormat="1" applyFont="1" applyFill="1" applyBorder="1" applyAlignment="1">
      <alignment horizontal="right" vertical="center"/>
    </xf>
    <xf numFmtId="3" fontId="7" fillId="0" borderId="39" xfId="2" applyNumberFormat="1" applyFont="1" applyFill="1" applyBorder="1" applyAlignment="1">
      <alignment horizontal="right" vertical="center"/>
    </xf>
    <xf numFmtId="3" fontId="7" fillId="0" borderId="30" xfId="2" applyNumberFormat="1" applyFont="1" applyFill="1" applyBorder="1" applyAlignment="1">
      <alignment horizontal="right" vertical="center"/>
    </xf>
    <xf numFmtId="3" fontId="14" fillId="0" borderId="0" xfId="0" applyNumberFormat="1" applyFont="1" applyAlignment="1">
      <alignment horizontal="left" vertical="center" wrapText="1"/>
    </xf>
    <xf numFmtId="3" fontId="14" fillId="0" borderId="0" xfId="0" applyNumberFormat="1" applyFont="1" applyAlignment="1">
      <alignment horizontal="left" vertical="center"/>
    </xf>
    <xf numFmtId="3" fontId="14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left" vertical="center" wrapText="1"/>
    </xf>
    <xf numFmtId="3" fontId="21" fillId="0" borderId="5" xfId="0" applyNumberFormat="1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3" fontId="14" fillId="0" borderId="5" xfId="0" applyNumberFormat="1" applyFont="1" applyBorder="1" applyAlignment="1">
      <alignment vertical="center"/>
    </xf>
    <xf numFmtId="3" fontId="21" fillId="0" borderId="5" xfId="0" applyNumberFormat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14" xfId="1" applyFont="1" applyFill="1" applyBorder="1" applyAlignment="1">
      <alignment horizontal="left" vertical="center"/>
    </xf>
    <xf numFmtId="0" fontId="6" fillId="0" borderId="14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21" fillId="0" borderId="26" xfId="0" applyFont="1" applyBorder="1" applyAlignment="1">
      <alignment vertical="center" wrapText="1"/>
    </xf>
    <xf numFmtId="0" fontId="21" fillId="0" borderId="27" xfId="0" applyFont="1" applyBorder="1" applyAlignment="1">
      <alignment horizontal="center" vertical="center" wrapText="1"/>
    </xf>
    <xf numFmtId="3" fontId="14" fillId="0" borderId="27" xfId="0" applyNumberFormat="1" applyFont="1" applyBorder="1" applyAlignment="1">
      <alignment horizontal="right" vertical="center" wrapText="1"/>
    </xf>
    <xf numFmtId="3" fontId="21" fillId="0" borderId="27" xfId="0" quotePrefix="1" applyNumberFormat="1" applyFont="1" applyBorder="1" applyAlignment="1">
      <alignment horizontal="center" vertical="center" wrapText="1"/>
    </xf>
    <xf numFmtId="3" fontId="14" fillId="0" borderId="27" xfId="0" applyNumberFormat="1" applyFont="1" applyBorder="1" applyAlignment="1">
      <alignment horizontal="right" vertical="center"/>
    </xf>
    <xf numFmtId="0" fontId="21" fillId="0" borderId="17" xfId="0" applyFont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right" vertical="center" wrapText="1"/>
    </xf>
    <xf numFmtId="3" fontId="21" fillId="0" borderId="5" xfId="0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right" vertical="center"/>
    </xf>
    <xf numFmtId="0" fontId="25" fillId="0" borderId="17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right" vertical="center" wrapText="1"/>
    </xf>
    <xf numFmtId="3" fontId="25" fillId="0" borderId="5" xfId="0" applyNumberFormat="1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right" vertical="center"/>
    </xf>
    <xf numFmtId="0" fontId="26" fillId="0" borderId="17" xfId="0" applyFont="1" applyBorder="1" applyAlignment="1">
      <alignment vertical="center" wrapText="1"/>
    </xf>
    <xf numFmtId="0" fontId="26" fillId="0" borderId="5" xfId="0" applyFont="1" applyBorder="1" applyAlignment="1">
      <alignment horizontal="center" vertical="center" wrapText="1"/>
    </xf>
    <xf numFmtId="3" fontId="27" fillId="0" borderId="5" xfId="0" applyNumberFormat="1" applyFont="1" applyBorder="1" applyAlignment="1">
      <alignment horizontal="right" vertical="center" wrapText="1"/>
    </xf>
    <xf numFmtId="3" fontId="21" fillId="0" borderId="5" xfId="0" quotePrefix="1" applyNumberFormat="1" applyFont="1" applyBorder="1" applyAlignment="1">
      <alignment horizontal="center" vertical="center" wrapText="1"/>
    </xf>
    <xf numFmtId="3" fontId="25" fillId="0" borderId="5" xfId="0" quotePrefix="1" applyNumberFormat="1" applyFont="1" applyBorder="1" applyAlignment="1">
      <alignment horizontal="center" vertical="center" wrapText="1"/>
    </xf>
    <xf numFmtId="0" fontId="25" fillId="0" borderId="17" xfId="0" applyFont="1" applyBorder="1" applyAlignment="1">
      <alignment vertical="center"/>
    </xf>
    <xf numFmtId="0" fontId="25" fillId="0" borderId="5" xfId="0" applyFont="1" applyBorder="1" applyAlignment="1">
      <alignment horizontal="center" vertical="center"/>
    </xf>
    <xf numFmtId="0" fontId="25" fillId="0" borderId="5" xfId="0" quotePrefix="1" applyFont="1" applyBorder="1" applyAlignment="1">
      <alignment horizontal="center" vertical="center" wrapText="1"/>
    </xf>
    <xf numFmtId="0" fontId="13" fillId="0" borderId="17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0" fontId="13" fillId="0" borderId="28" xfId="0" applyFont="1" applyBorder="1" applyAlignment="1">
      <alignment vertical="center" wrapText="1"/>
    </xf>
    <xf numFmtId="0" fontId="13" fillId="0" borderId="25" xfId="0" applyFont="1" applyBorder="1" applyAlignment="1">
      <alignment horizontal="center" vertical="center" wrapText="1"/>
    </xf>
    <xf numFmtId="3" fontId="13" fillId="0" borderId="25" xfId="0" applyNumberFormat="1" applyFont="1" applyBorder="1" applyAlignment="1">
      <alignment horizontal="right" vertical="center" wrapText="1"/>
    </xf>
    <xf numFmtId="0" fontId="13" fillId="0" borderId="4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right" vertical="center" wrapText="1"/>
    </xf>
    <xf numFmtId="0" fontId="14" fillId="0" borderId="0" xfId="0" applyFont="1" applyFill="1" applyAlignment="1">
      <alignment horizontal="left" vertical="center" wrapText="1"/>
    </xf>
    <xf numFmtId="3" fontId="10" fillId="0" borderId="11" xfId="2" applyFont="1" applyFill="1" applyBorder="1" applyAlignment="1">
      <alignment horizontal="center" vertical="center" wrapText="1"/>
    </xf>
    <xf numFmtId="3" fontId="10" fillId="0" borderId="1" xfId="2" applyFont="1" applyFill="1" applyBorder="1" applyAlignment="1">
      <alignment horizontal="center" vertical="center" wrapText="1"/>
    </xf>
    <xf numFmtId="3" fontId="7" fillId="0" borderId="42" xfId="2" applyNumberFormat="1" applyFont="1" applyFill="1" applyBorder="1" applyAlignment="1">
      <alignment horizontal="right" vertical="center"/>
    </xf>
    <xf numFmtId="3" fontId="10" fillId="0" borderId="10" xfId="2" applyFont="1" applyFill="1" applyBorder="1" applyAlignment="1">
      <alignment horizontal="center" vertical="center" wrapText="1"/>
    </xf>
    <xf numFmtId="3" fontId="7" fillId="0" borderId="1" xfId="2" applyFont="1" applyFill="1" applyBorder="1" applyAlignment="1">
      <alignment horizontal="center" vertical="center" wrapText="1"/>
    </xf>
    <xf numFmtId="3" fontId="6" fillId="0" borderId="1" xfId="2" applyFont="1" applyFill="1" applyBorder="1" applyAlignment="1">
      <alignment horizontal="center" vertical="center" wrapText="1"/>
    </xf>
    <xf numFmtId="3" fontId="6" fillId="0" borderId="1" xfId="2" applyNumberFormat="1" applyFont="1" applyFill="1" applyBorder="1" applyAlignment="1">
      <alignment horizontal="right" vertical="center"/>
    </xf>
    <xf numFmtId="3" fontId="7" fillId="0" borderId="19" xfId="2" applyFont="1" applyFill="1" applyBorder="1" applyAlignment="1">
      <alignment horizontal="left" vertical="center" wrapText="1"/>
    </xf>
    <xf numFmtId="3" fontId="7" fillId="0" borderId="43" xfId="2" applyFont="1" applyFill="1" applyBorder="1" applyAlignment="1">
      <alignment horizontal="centerContinuous" vertical="center" wrapText="1"/>
    </xf>
    <xf numFmtId="3" fontId="6" fillId="0" borderId="14" xfId="2" applyFont="1" applyFill="1" applyBorder="1" applyAlignment="1">
      <alignment horizontal="centerContinuous" vertical="center"/>
    </xf>
    <xf numFmtId="3" fontId="7" fillId="0" borderId="14" xfId="2" applyFont="1" applyFill="1" applyBorder="1" applyAlignment="1">
      <alignment horizontal="left" vertical="center" wrapText="1"/>
    </xf>
    <xf numFmtId="3" fontId="7" fillId="0" borderId="7" xfId="2" applyFont="1" applyFill="1" applyBorder="1" applyAlignment="1">
      <alignment horizontal="centerContinuous" vertical="center" wrapText="1"/>
    </xf>
    <xf numFmtId="3" fontId="15" fillId="0" borderId="3" xfId="2" applyFont="1" applyFill="1" applyBorder="1" applyAlignment="1">
      <alignment horizontal="center" vertical="center" wrapText="1"/>
    </xf>
    <xf numFmtId="3" fontId="15" fillId="0" borderId="0" xfId="2" applyFont="1" applyFill="1" applyBorder="1" applyAlignment="1">
      <alignment horizontal="left" vertical="center" wrapText="1"/>
    </xf>
    <xf numFmtId="3" fontId="7" fillId="0" borderId="7" xfId="2" applyNumberFormat="1" applyFont="1" applyFill="1" applyBorder="1" applyAlignment="1">
      <alignment horizontal="right" vertical="center"/>
    </xf>
    <xf numFmtId="3" fontId="7" fillId="0" borderId="45" xfId="2" applyFont="1" applyFill="1" applyBorder="1" applyAlignment="1">
      <alignment horizontal="left" vertical="center" wrapText="1"/>
    </xf>
    <xf numFmtId="3" fontId="7" fillId="0" borderId="2" xfId="2" applyNumberFormat="1" applyFont="1" applyFill="1" applyBorder="1" applyAlignment="1">
      <alignment horizontal="right" vertical="center"/>
    </xf>
    <xf numFmtId="3" fontId="15" fillId="0" borderId="13" xfId="2" applyFont="1" applyFill="1" applyBorder="1" applyAlignment="1">
      <alignment horizontal="center" vertical="center" wrapText="1"/>
    </xf>
    <xf numFmtId="3" fontId="7" fillId="0" borderId="46" xfId="2" applyNumberFormat="1" applyFont="1" applyFill="1" applyBorder="1" applyAlignment="1">
      <alignment horizontal="right" vertical="center"/>
    </xf>
    <xf numFmtId="3" fontId="15" fillId="0" borderId="2" xfId="2" applyFont="1" applyFill="1" applyBorder="1" applyAlignment="1">
      <alignment horizontal="center" vertical="center" wrapText="1"/>
    </xf>
    <xf numFmtId="3" fontId="15" fillId="0" borderId="1" xfId="2" applyNumberFormat="1" applyFont="1" applyFill="1" applyBorder="1" applyAlignment="1">
      <alignment horizontal="right" vertical="center"/>
    </xf>
    <xf numFmtId="3" fontId="7" fillId="0" borderId="31" xfId="2" applyFont="1" applyFill="1" applyBorder="1" applyAlignment="1">
      <alignment horizontal="centerContinuous" vertical="center"/>
    </xf>
    <xf numFmtId="3" fontId="7" fillId="0" borderId="48" xfId="2" applyNumberFormat="1" applyFont="1" applyFill="1" applyBorder="1" applyAlignment="1">
      <alignment horizontal="right" vertical="center"/>
    </xf>
    <xf numFmtId="3" fontId="7" fillId="0" borderId="19" xfId="2" applyFont="1" applyFill="1" applyBorder="1" applyAlignment="1">
      <alignment horizontal="centerContinuous" vertical="center"/>
    </xf>
    <xf numFmtId="3" fontId="7" fillId="0" borderId="38" xfId="2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3" fontId="7" fillId="0" borderId="1" xfId="1" applyNumberFormat="1" applyFont="1" applyFill="1" applyBorder="1" applyAlignment="1">
      <alignment vertical="center"/>
    </xf>
    <xf numFmtId="0" fontId="0" fillId="0" borderId="0" xfId="0" applyFont="1" applyFill="1"/>
    <xf numFmtId="3" fontId="6" fillId="0" borderId="1" xfId="0" applyNumberFormat="1" applyFont="1" applyFill="1" applyBorder="1" applyAlignment="1">
      <alignment vertical="center"/>
    </xf>
    <xf numFmtId="0" fontId="6" fillId="0" borderId="22" xfId="1" applyFont="1" applyFill="1" applyBorder="1" applyAlignment="1">
      <alignment horizontal="left" vertical="center"/>
    </xf>
    <xf numFmtId="0" fontId="7" fillId="0" borderId="64" xfId="1" applyFont="1" applyFill="1" applyBorder="1" applyAlignment="1">
      <alignment horizontal="left" vertical="center"/>
    </xf>
    <xf numFmtId="3" fontId="16" fillId="0" borderId="57" xfId="0" applyNumberFormat="1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3" fontId="7" fillId="0" borderId="81" xfId="2" applyFont="1" applyFill="1" applyBorder="1" applyAlignment="1">
      <alignment horizontal="center" vertical="center"/>
    </xf>
    <xf numFmtId="3" fontId="7" fillId="0" borderId="82" xfId="2" applyFont="1" applyFill="1" applyBorder="1" applyAlignment="1">
      <alignment horizontal="center" vertical="center"/>
    </xf>
    <xf numFmtId="3" fontId="7" fillId="0" borderId="83" xfId="2" applyFont="1" applyFill="1" applyBorder="1" applyAlignment="1">
      <alignment horizontal="center" vertical="center"/>
    </xf>
    <xf numFmtId="3" fontId="7" fillId="0" borderId="80" xfId="2" applyNumberFormat="1" applyFont="1" applyFill="1" applyBorder="1" applyAlignment="1">
      <alignment horizontal="right" vertical="center"/>
    </xf>
    <xf numFmtId="164" fontId="14" fillId="0" borderId="27" xfId="0" applyNumberFormat="1" applyFont="1" applyBorder="1" applyAlignment="1">
      <alignment horizontal="right" vertical="center" wrapText="1"/>
    </xf>
    <xf numFmtId="16" fontId="21" fillId="0" borderId="27" xfId="0" quotePrefix="1" applyNumberFormat="1" applyFont="1" applyBorder="1" applyAlignment="1">
      <alignment horizontal="center" vertical="center" wrapText="1"/>
    </xf>
    <xf numFmtId="164" fontId="14" fillId="0" borderId="27" xfId="0" applyNumberFormat="1" applyFont="1" applyBorder="1" applyAlignment="1">
      <alignment horizontal="right" vertical="center"/>
    </xf>
    <xf numFmtId="164" fontId="14" fillId="0" borderId="5" xfId="0" applyNumberFormat="1" applyFont="1" applyBorder="1" applyAlignment="1">
      <alignment horizontal="right" vertical="center" wrapText="1"/>
    </xf>
    <xf numFmtId="164" fontId="14" fillId="0" borderId="5" xfId="0" applyNumberFormat="1" applyFont="1" applyBorder="1" applyAlignment="1">
      <alignment horizontal="right" vertical="center"/>
    </xf>
    <xf numFmtId="166" fontId="14" fillId="0" borderId="5" xfId="0" applyNumberFormat="1" applyFont="1" applyBorder="1" applyAlignment="1">
      <alignment horizontal="right" vertical="center"/>
    </xf>
    <xf numFmtId="164" fontId="13" fillId="0" borderId="5" xfId="0" applyNumberFormat="1" applyFont="1" applyBorder="1" applyAlignment="1">
      <alignment horizontal="right" vertical="center"/>
    </xf>
    <xf numFmtId="164" fontId="27" fillId="0" borderId="5" xfId="0" applyNumberFormat="1" applyFont="1" applyBorder="1" applyAlignment="1">
      <alignment horizontal="right" vertical="center"/>
    </xf>
    <xf numFmtId="0" fontId="21" fillId="0" borderId="5" xfId="0" quotePrefix="1" applyFont="1" applyBorder="1" applyAlignment="1">
      <alignment horizontal="center" vertical="center" wrapText="1"/>
    </xf>
    <xf numFmtId="164" fontId="14" fillId="0" borderId="5" xfId="0" applyNumberFormat="1" applyFont="1" applyBorder="1" applyAlignment="1">
      <alignment vertical="center"/>
    </xf>
    <xf numFmtId="164" fontId="13" fillId="0" borderId="5" xfId="0" applyNumberFormat="1" applyFont="1" applyBorder="1" applyAlignment="1">
      <alignment vertical="center"/>
    </xf>
    <xf numFmtId="0" fontId="25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3" fontId="27" fillId="0" borderId="5" xfId="0" applyNumberFormat="1" applyFont="1" applyBorder="1" applyAlignment="1">
      <alignment horizontal="right" vertical="center"/>
    </xf>
    <xf numFmtId="3" fontId="13" fillId="0" borderId="5" xfId="0" applyNumberFormat="1" applyFont="1" applyBorder="1" applyAlignment="1">
      <alignment vertical="center"/>
    </xf>
    <xf numFmtId="3" fontId="25" fillId="0" borderId="5" xfId="0" applyNumberFormat="1" applyFont="1" applyBorder="1" applyAlignment="1">
      <alignment vertical="center" wrapText="1"/>
    </xf>
    <xf numFmtId="3" fontId="13" fillId="0" borderId="5" xfId="0" applyNumberFormat="1" applyFont="1" applyBorder="1" applyAlignment="1">
      <alignment vertical="center" wrapText="1"/>
    </xf>
    <xf numFmtId="3" fontId="15" fillId="0" borderId="95" xfId="2" applyFont="1" applyFill="1" applyBorder="1" applyAlignment="1">
      <alignment horizontal="center" vertical="center" wrapText="1"/>
    </xf>
    <xf numFmtId="3" fontId="6" fillId="0" borderId="95" xfId="2" applyNumberFormat="1" applyFont="1" applyFill="1" applyBorder="1" applyAlignment="1">
      <alignment horizontal="right" vertical="center"/>
    </xf>
    <xf numFmtId="3" fontId="7" fillId="0" borderId="95" xfId="2" applyNumberFormat="1" applyFont="1" applyFill="1" applyBorder="1" applyAlignment="1">
      <alignment horizontal="right" vertical="center"/>
    </xf>
    <xf numFmtId="3" fontId="3" fillId="0" borderId="95" xfId="2" applyNumberFormat="1" applyFont="1" applyFill="1" applyBorder="1" applyAlignment="1">
      <alignment horizontal="right" vertical="center"/>
    </xf>
    <xf numFmtId="3" fontId="7" fillId="0" borderId="96" xfId="2" applyNumberFormat="1" applyFont="1" applyFill="1" applyBorder="1" applyAlignment="1">
      <alignment horizontal="right" vertical="center"/>
    </xf>
    <xf numFmtId="0" fontId="7" fillId="0" borderId="95" xfId="1" applyFont="1" applyFill="1" applyBorder="1" applyAlignment="1">
      <alignment horizontal="center" vertical="center"/>
    </xf>
    <xf numFmtId="0" fontId="6" fillId="0" borderId="95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1" applyFont="1" applyFill="1" applyAlignment="1">
      <alignment vertical="center"/>
    </xf>
    <xf numFmtId="0" fontId="7" fillId="0" borderId="72" xfId="1" applyFont="1" applyFill="1" applyBorder="1" applyAlignment="1">
      <alignment horizontal="left" vertical="center"/>
    </xf>
    <xf numFmtId="0" fontId="6" fillId="0" borderId="22" xfId="1" applyFont="1" applyFill="1" applyBorder="1" applyAlignment="1">
      <alignment vertical="center"/>
    </xf>
    <xf numFmtId="0" fontId="7" fillId="0" borderId="8" xfId="1" applyFont="1" applyFill="1" applyBorder="1" applyAlignment="1">
      <alignment horizontal="left" vertical="center"/>
    </xf>
    <xf numFmtId="0" fontId="7" fillId="0" borderId="100" xfId="1" applyFont="1" applyFill="1" applyBorder="1" applyAlignment="1">
      <alignment horizontal="left" vertical="center"/>
    </xf>
    <xf numFmtId="0" fontId="6" fillId="0" borderId="100" xfId="1" applyFont="1" applyFill="1" applyBorder="1" applyAlignment="1">
      <alignment vertical="center"/>
    </xf>
    <xf numFmtId="3" fontId="7" fillId="0" borderId="72" xfId="1" applyNumberFormat="1" applyFont="1" applyFill="1" applyBorder="1" applyAlignment="1">
      <alignment horizontal="right" vertical="center"/>
    </xf>
    <xf numFmtId="3" fontId="16" fillId="0" borderId="99" xfId="1" applyNumberFormat="1" applyFont="1" applyFill="1" applyBorder="1" applyAlignment="1">
      <alignment horizontal="right" vertical="center"/>
    </xf>
    <xf numFmtId="3" fontId="16" fillId="0" borderId="101" xfId="1" applyNumberFormat="1" applyFont="1" applyFill="1" applyBorder="1" applyAlignment="1">
      <alignment vertical="center"/>
    </xf>
    <xf numFmtId="3" fontId="7" fillId="0" borderId="102" xfId="2" applyNumberFormat="1" applyFont="1" applyFill="1" applyBorder="1" applyAlignment="1">
      <alignment horizontal="right" vertical="center"/>
    </xf>
    <xf numFmtId="0" fontId="7" fillId="0" borderId="43" xfId="1" applyFont="1" applyFill="1" applyBorder="1" applyAlignment="1">
      <alignment horizontal="left" vertical="center"/>
    </xf>
    <xf numFmtId="3" fontId="13" fillId="0" borderId="52" xfId="0" applyNumberFormat="1" applyFont="1" applyBorder="1" applyAlignment="1">
      <alignment horizontal="center" vertical="center" wrapText="1"/>
    </xf>
    <xf numFmtId="3" fontId="13" fillId="0" borderId="52" xfId="0" applyNumberFormat="1" applyFont="1" applyBorder="1" applyAlignment="1">
      <alignment horizontal="right" vertical="center"/>
    </xf>
    <xf numFmtId="3" fontId="13" fillId="0" borderId="103" xfId="0" applyNumberFormat="1" applyFont="1" applyBorder="1" applyAlignment="1">
      <alignment horizontal="right" vertical="center"/>
    </xf>
    <xf numFmtId="3" fontId="21" fillId="0" borderId="26" xfId="0" applyNumberFormat="1" applyFont="1" applyBorder="1" applyAlignment="1">
      <alignment horizontal="left" vertical="center" wrapText="1"/>
    </xf>
    <xf numFmtId="3" fontId="21" fillId="0" borderId="17" xfId="0" applyNumberFormat="1" applyFont="1" applyBorder="1" applyAlignment="1">
      <alignment horizontal="left" vertical="center" wrapText="1"/>
    </xf>
    <xf numFmtId="3" fontId="21" fillId="0" borderId="17" xfId="0" applyNumberFormat="1" applyFont="1" applyBorder="1" applyAlignment="1">
      <alignment vertical="center"/>
    </xf>
    <xf numFmtId="3" fontId="25" fillId="0" borderId="17" xfId="0" applyNumberFormat="1" applyFont="1" applyBorder="1" applyAlignment="1">
      <alignment horizontal="left" vertical="center" wrapText="1"/>
    </xf>
    <xf numFmtId="3" fontId="21" fillId="0" borderId="17" xfId="0" applyNumberFormat="1" applyFont="1" applyBorder="1" applyAlignment="1">
      <alignment vertical="center" wrapText="1"/>
    </xf>
    <xf numFmtId="3" fontId="25" fillId="0" borderId="17" xfId="0" applyNumberFormat="1" applyFont="1" applyBorder="1" applyAlignment="1">
      <alignment vertical="center" wrapText="1"/>
    </xf>
    <xf numFmtId="3" fontId="14" fillId="0" borderId="17" xfId="0" applyNumberFormat="1" applyFont="1" applyBorder="1" applyAlignment="1">
      <alignment vertical="center"/>
    </xf>
    <xf numFmtId="3" fontId="13" fillId="0" borderId="17" xfId="0" applyNumberFormat="1" applyFont="1" applyBorder="1" applyAlignment="1">
      <alignment vertical="center" wrapText="1"/>
    </xf>
    <xf numFmtId="3" fontId="13" fillId="0" borderId="104" xfId="0" applyNumberFormat="1" applyFont="1" applyBorder="1" applyAlignment="1">
      <alignment vertical="center" wrapText="1"/>
    </xf>
    <xf numFmtId="3" fontId="13" fillId="0" borderId="105" xfId="0" applyNumberFormat="1" applyFont="1" applyBorder="1" applyAlignment="1">
      <alignment horizontal="center" vertical="center" wrapText="1"/>
    </xf>
    <xf numFmtId="3" fontId="13" fillId="0" borderId="105" xfId="0" applyNumberFormat="1" applyFont="1" applyBorder="1" applyAlignment="1">
      <alignment horizontal="right" vertical="center" wrapText="1"/>
    </xf>
    <xf numFmtId="0" fontId="13" fillId="0" borderId="52" xfId="0" applyFont="1" applyBorder="1" applyAlignment="1">
      <alignment horizontal="center" vertical="center" wrapText="1"/>
    </xf>
    <xf numFmtId="164" fontId="13" fillId="0" borderId="52" xfId="0" applyNumberFormat="1" applyFont="1" applyBorder="1" applyAlignment="1">
      <alignment horizontal="right" vertical="center" wrapText="1"/>
    </xf>
    <xf numFmtId="0" fontId="13" fillId="0" borderId="104" xfId="0" applyFont="1" applyBorder="1" applyAlignment="1">
      <alignment vertical="center" wrapText="1"/>
    </xf>
    <xf numFmtId="0" fontId="13" fillId="0" borderId="105" xfId="0" applyFont="1" applyBorder="1" applyAlignment="1">
      <alignment horizontal="center" vertical="center" wrapText="1"/>
    </xf>
    <xf numFmtId="164" fontId="13" fillId="0" borderId="105" xfId="0" applyNumberFormat="1" applyFont="1" applyBorder="1" applyAlignment="1">
      <alignment horizontal="right" vertical="center"/>
    </xf>
    <xf numFmtId="0" fontId="21" fillId="0" borderId="26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7" xfId="0" applyFont="1" applyBorder="1" applyAlignment="1">
      <alignment vertical="center"/>
    </xf>
    <xf numFmtId="0" fontId="25" fillId="0" borderId="17" xfId="0" applyFont="1" applyBorder="1" applyAlignment="1">
      <alignment horizontal="left" vertical="center" wrapText="1"/>
    </xf>
    <xf numFmtId="0" fontId="14" fillId="0" borderId="17" xfId="0" applyFont="1" applyBorder="1" applyAlignment="1">
      <alignment vertical="center"/>
    </xf>
    <xf numFmtId="0" fontId="13" fillId="0" borderId="106" xfId="0" applyFont="1" applyBorder="1" applyAlignment="1">
      <alignment horizontal="center" vertical="center" wrapText="1"/>
    </xf>
    <xf numFmtId="0" fontId="13" fillId="0" borderId="107" xfId="0" applyFont="1" applyBorder="1" applyAlignment="1">
      <alignment horizontal="center" vertical="center" wrapText="1"/>
    </xf>
    <xf numFmtId="3" fontId="13" fillId="0" borderId="107" xfId="0" applyNumberFormat="1" applyFont="1" applyBorder="1" applyAlignment="1">
      <alignment horizontal="right" vertical="center" wrapText="1"/>
    </xf>
    <xf numFmtId="3" fontId="13" fillId="0" borderId="105" xfId="0" applyNumberFormat="1" applyFont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/>
    </xf>
    <xf numFmtId="3" fontId="13" fillId="0" borderId="108" xfId="0" applyNumberFormat="1" applyFont="1" applyBorder="1" applyAlignment="1">
      <alignment horizontal="right" vertical="center" wrapText="1"/>
    </xf>
    <xf numFmtId="3" fontId="7" fillId="0" borderId="96" xfId="1" applyNumberFormat="1" applyFont="1" applyFill="1" applyBorder="1" applyAlignment="1">
      <alignment vertical="center"/>
    </xf>
    <xf numFmtId="3" fontId="7" fillId="0" borderId="95" xfId="1" applyNumberFormat="1" applyFont="1" applyFill="1" applyBorder="1" applyAlignment="1">
      <alignment vertical="center"/>
    </xf>
    <xf numFmtId="3" fontId="7" fillId="0" borderId="55" xfId="2" applyNumberFormat="1" applyFont="1" applyFill="1" applyBorder="1" applyAlignment="1">
      <alignment horizontal="right" vertical="center"/>
    </xf>
    <xf numFmtId="3" fontId="7" fillId="0" borderId="18" xfId="2" applyNumberFormat="1" applyFont="1" applyFill="1" applyBorder="1" applyAlignment="1">
      <alignment horizontal="right" vertical="center"/>
    </xf>
    <xf numFmtId="3" fontId="6" fillId="0" borderId="96" xfId="0" applyNumberFormat="1" applyFont="1" applyFill="1" applyBorder="1" applyAlignment="1">
      <alignment vertical="center"/>
    </xf>
    <xf numFmtId="3" fontId="16" fillId="0" borderId="113" xfId="0" applyNumberFormat="1" applyFont="1" applyFill="1" applyBorder="1" applyAlignment="1">
      <alignment vertical="center"/>
    </xf>
    <xf numFmtId="3" fontId="16" fillId="0" borderId="96" xfId="0" applyNumberFormat="1" applyFont="1" applyFill="1" applyBorder="1" applyAlignment="1">
      <alignment vertical="center"/>
    </xf>
    <xf numFmtId="3" fontId="7" fillId="0" borderId="14" xfId="1" applyNumberFormat="1" applyFont="1" applyFill="1" applyBorder="1" applyAlignment="1">
      <alignment horizontal="right" vertical="center"/>
    </xf>
    <xf numFmtId="3" fontId="16" fillId="0" borderId="109" xfId="1" applyNumberFormat="1" applyFont="1" applyFill="1" applyBorder="1" applyAlignment="1">
      <alignment horizontal="right" vertical="center"/>
    </xf>
    <xf numFmtId="0" fontId="7" fillId="0" borderId="121" xfId="1" applyFont="1" applyFill="1" applyBorder="1" applyAlignment="1">
      <alignment horizontal="left" vertical="center"/>
    </xf>
    <xf numFmtId="3" fontId="16" fillId="0" borderId="113" xfId="1" applyNumberFormat="1" applyFont="1" applyFill="1" applyBorder="1" applyAlignment="1">
      <alignment vertical="center"/>
    </xf>
    <xf numFmtId="3" fontId="7" fillId="0" borderId="124" xfId="2" applyNumberFormat="1" applyFont="1" applyFill="1" applyBorder="1" applyAlignment="1">
      <alignment horizontal="right" vertical="center"/>
    </xf>
    <xf numFmtId="3" fontId="7" fillId="0" borderId="81" xfId="2" applyNumberFormat="1" applyFont="1" applyFill="1" applyBorder="1" applyAlignment="1">
      <alignment horizontal="right" vertical="center"/>
    </xf>
    <xf numFmtId="3" fontId="6" fillId="0" borderId="95" xfId="0" applyNumberFormat="1" applyFont="1" applyFill="1" applyBorder="1" applyAlignment="1">
      <alignment vertical="center"/>
    </xf>
    <xf numFmtId="3" fontId="16" fillId="0" borderId="101" xfId="0" applyNumberFormat="1" applyFont="1" applyFill="1" applyBorder="1" applyAlignment="1">
      <alignment vertical="center"/>
    </xf>
    <xf numFmtId="3" fontId="16" fillId="0" borderId="95" xfId="0" applyNumberFormat="1" applyFont="1" applyFill="1" applyBorder="1" applyAlignment="1">
      <alignment vertical="center"/>
    </xf>
    <xf numFmtId="3" fontId="15" fillId="0" borderId="95" xfId="1" applyNumberFormat="1" applyFont="1" applyFill="1" applyBorder="1" applyAlignment="1">
      <alignment vertical="center"/>
    </xf>
    <xf numFmtId="3" fontId="7" fillId="0" borderId="99" xfId="1" applyNumberFormat="1" applyFont="1" applyFill="1" applyBorder="1" applyAlignment="1">
      <alignment horizontal="right" vertical="center"/>
    </xf>
    <xf numFmtId="3" fontId="7" fillId="0" borderId="13" xfId="2" applyNumberFormat="1" applyFont="1" applyFill="1" applyBorder="1" applyAlignment="1">
      <alignment horizontal="right" vertical="center"/>
    </xf>
    <xf numFmtId="3" fontId="7" fillId="0" borderId="39" xfId="1" applyNumberFormat="1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vertical="center" wrapText="1"/>
    </xf>
    <xf numFmtId="3" fontId="24" fillId="0" borderId="42" xfId="2" applyNumberFormat="1" applyFont="1" applyFill="1" applyBorder="1" applyAlignment="1">
      <alignment horizontal="right" vertical="center"/>
    </xf>
    <xf numFmtId="3" fontId="16" fillId="0" borderId="95" xfId="2" applyNumberFormat="1" applyFont="1" applyFill="1" applyBorder="1" applyAlignment="1">
      <alignment horizontal="right" vertical="center"/>
    </xf>
    <xf numFmtId="3" fontId="7" fillId="0" borderId="0" xfId="2" applyFont="1" applyFill="1" applyBorder="1" applyAlignment="1">
      <alignment horizontal="center" vertical="center" wrapText="1"/>
    </xf>
    <xf numFmtId="3" fontId="15" fillId="0" borderId="95" xfId="2" applyNumberFormat="1" applyFont="1" applyFill="1" applyBorder="1" applyAlignment="1">
      <alignment horizontal="right" vertical="center"/>
    </xf>
    <xf numFmtId="164" fontId="13" fillId="0" borderId="129" xfId="0" applyNumberFormat="1" applyFont="1" applyBorder="1" applyAlignment="1">
      <alignment vertical="center"/>
    </xf>
    <xf numFmtId="0" fontId="13" fillId="0" borderId="105" xfId="0" applyFont="1" applyBorder="1" applyAlignment="1">
      <alignment vertical="center" wrapText="1"/>
    </xf>
    <xf numFmtId="0" fontId="14" fillId="0" borderId="105" xfId="0" applyFont="1" applyBorder="1" applyAlignment="1">
      <alignment vertical="center"/>
    </xf>
    <xf numFmtId="3" fontId="13" fillId="0" borderId="129" xfId="0" applyNumberFormat="1" applyFont="1" applyBorder="1" applyAlignment="1">
      <alignment vertical="center"/>
    </xf>
    <xf numFmtId="3" fontId="13" fillId="0" borderId="107" xfId="0" applyNumberFormat="1" applyFont="1" applyBorder="1" applyAlignment="1">
      <alignment horizontal="center" vertical="center" wrapText="1"/>
    </xf>
    <xf numFmtId="3" fontId="13" fillId="0" borderId="105" xfId="0" applyNumberFormat="1" applyFont="1" applyBorder="1" applyAlignment="1">
      <alignment vertical="center" wrapText="1"/>
    </xf>
    <xf numFmtId="3" fontId="14" fillId="0" borderId="105" xfId="0" applyNumberFormat="1" applyFont="1" applyBorder="1" applyAlignment="1">
      <alignment vertical="center"/>
    </xf>
    <xf numFmtId="3" fontId="7" fillId="0" borderId="15" xfId="1" applyNumberFormat="1" applyFont="1" applyFill="1" applyBorder="1" applyAlignment="1">
      <alignment vertical="center"/>
    </xf>
    <xf numFmtId="4" fontId="14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4" fontId="31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3" fontId="3" fillId="0" borderId="0" xfId="0" applyNumberFormat="1" applyFont="1" applyFill="1" applyAlignment="1">
      <alignment horizontal="left" vertical="center"/>
    </xf>
    <xf numFmtId="3" fontId="3" fillId="0" borderId="0" xfId="0" applyNumberFormat="1" applyFont="1" applyFill="1" applyAlignment="1">
      <alignment horizontal="right" vertical="center"/>
    </xf>
    <xf numFmtId="3" fontId="5" fillId="0" borderId="11" xfId="2" applyFont="1" applyFill="1" applyBorder="1" applyAlignment="1">
      <alignment horizontal="center" vertical="center" wrapText="1"/>
    </xf>
    <xf numFmtId="3" fontId="19" fillId="0" borderId="11" xfId="2" applyFont="1" applyFill="1" applyBorder="1" applyAlignment="1">
      <alignment horizontal="center" vertical="center" wrapText="1"/>
    </xf>
    <xf numFmtId="3" fontId="5" fillId="0" borderId="40" xfId="2" applyFont="1" applyFill="1" applyBorder="1" applyAlignment="1">
      <alignment horizontal="left" vertical="center" wrapText="1"/>
    </xf>
    <xf numFmtId="3" fontId="8" fillId="0" borderId="20" xfId="2" applyFont="1" applyFill="1" applyBorder="1" applyAlignment="1">
      <alignment horizontal="left" vertical="center" wrapText="1"/>
    </xf>
    <xf numFmtId="3" fontId="5" fillId="0" borderId="20" xfId="2" applyFont="1" applyFill="1" applyBorder="1" applyAlignment="1">
      <alignment horizontal="left" vertical="center"/>
    </xf>
    <xf numFmtId="3" fontId="5" fillId="0" borderId="41" xfId="2" applyFont="1" applyFill="1" applyBorder="1" applyAlignment="1">
      <alignment horizontal="center" vertical="center" wrapText="1"/>
    </xf>
    <xf numFmtId="3" fontId="5" fillId="0" borderId="11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8" fillId="0" borderId="1" xfId="2" applyFont="1" applyFill="1" applyBorder="1" applyAlignment="1">
      <alignment horizontal="center" vertical="center" wrapText="1"/>
    </xf>
    <xf numFmtId="3" fontId="19" fillId="0" borderId="1" xfId="2" applyFont="1" applyFill="1" applyBorder="1" applyAlignment="1">
      <alignment horizontal="center" vertical="center" wrapText="1"/>
    </xf>
    <xf numFmtId="3" fontId="23" fillId="0" borderId="7" xfId="2" applyFont="1" applyFill="1" applyBorder="1" applyAlignment="1">
      <alignment horizontal="centerContinuous" vertical="center"/>
    </xf>
    <xf numFmtId="3" fontId="23" fillId="0" borderId="0" xfId="2" applyFont="1" applyFill="1" applyBorder="1" applyAlignment="1">
      <alignment horizontal="centerContinuous" vertical="center"/>
    </xf>
    <xf numFmtId="3" fontId="17" fillId="0" borderId="0" xfId="2" applyFont="1" applyFill="1" applyBorder="1" applyAlignment="1">
      <alignment horizontal="centerContinuous" vertical="center"/>
    </xf>
    <xf numFmtId="3" fontId="17" fillId="0" borderId="0" xfId="2" applyFont="1" applyFill="1" applyBorder="1" applyAlignment="1">
      <alignment horizontal="centerContinuous" vertical="center" wrapText="1"/>
    </xf>
    <xf numFmtId="3" fontId="5" fillId="0" borderId="1" xfId="2" applyNumberFormat="1" applyFont="1" applyFill="1" applyBorder="1" applyAlignment="1">
      <alignment horizontal="right" vertical="center"/>
    </xf>
    <xf numFmtId="3" fontId="5" fillId="0" borderId="95" xfId="2" applyNumberFormat="1" applyFont="1" applyFill="1" applyBorder="1" applyAlignment="1">
      <alignment horizontal="right" vertical="center"/>
    </xf>
    <xf numFmtId="3" fontId="16" fillId="0" borderId="1" xfId="2" applyFont="1" applyFill="1" applyBorder="1" applyAlignment="1">
      <alignment horizontal="center" vertical="center" wrapText="1"/>
    </xf>
    <xf numFmtId="3" fontId="6" fillId="0" borderId="7" xfId="2" applyFont="1" applyFill="1" applyBorder="1" applyAlignment="1">
      <alignment horizontal="left" vertical="center"/>
    </xf>
    <xf numFmtId="3" fontId="7" fillId="0" borderId="95" xfId="2" applyFont="1" applyFill="1" applyBorder="1" applyAlignment="1">
      <alignment horizontal="center" vertical="center" wrapText="1"/>
    </xf>
    <xf numFmtId="3" fontId="16" fillId="0" borderId="95" xfId="2" applyFont="1" applyFill="1" applyBorder="1" applyAlignment="1">
      <alignment horizontal="center" vertical="center" wrapText="1"/>
    </xf>
    <xf numFmtId="3" fontId="16" fillId="0" borderId="0" xfId="2" applyFont="1" applyFill="1" applyBorder="1" applyAlignment="1">
      <alignment horizontal="left" vertical="center" wrapText="1"/>
    </xf>
    <xf numFmtId="3" fontId="6" fillId="0" borderId="7" xfId="2" applyFont="1" applyFill="1" applyBorder="1" applyAlignment="1">
      <alignment horizontal="center" vertical="center"/>
    </xf>
    <xf numFmtId="3" fontId="18" fillId="0" borderId="0" xfId="2" applyFont="1" applyFill="1" applyBorder="1" applyAlignment="1">
      <alignment horizontal="left" vertical="center"/>
    </xf>
    <xf numFmtId="3" fontId="7" fillId="0" borderId="1" xfId="2" applyNumberFormat="1" applyFont="1" applyFill="1" applyBorder="1" applyAlignment="1">
      <alignment vertical="center"/>
    </xf>
    <xf numFmtId="3" fontId="6" fillId="0" borderId="0" xfId="2" applyFont="1" applyFill="1" applyBorder="1" applyAlignment="1">
      <alignment horizontal="center" vertical="center"/>
    </xf>
    <xf numFmtId="3" fontId="6" fillId="0" borderId="1" xfId="2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3" fontId="6" fillId="0" borderId="123" xfId="2" applyFont="1" applyFill="1" applyBorder="1" applyAlignment="1">
      <alignment horizontal="left" vertical="center"/>
    </xf>
    <xf numFmtId="3" fontId="6" fillId="0" borderId="96" xfId="2" applyFont="1" applyFill="1" applyBorder="1" applyAlignment="1">
      <alignment horizontal="center" vertical="center"/>
    </xf>
    <xf numFmtId="3" fontId="16" fillId="0" borderId="3" xfId="2" applyFont="1" applyFill="1" applyBorder="1" applyAlignment="1">
      <alignment horizontal="center" vertical="center" wrapText="1"/>
    </xf>
    <xf numFmtId="3" fontId="19" fillId="0" borderId="9" xfId="2" applyFont="1" applyFill="1" applyBorder="1" applyAlignment="1">
      <alignment horizontal="center" vertical="center" wrapText="1"/>
    </xf>
    <xf numFmtId="3" fontId="19" fillId="0" borderId="10" xfId="2" applyFont="1" applyFill="1" applyBorder="1" applyAlignment="1">
      <alignment horizontal="center" vertical="center" wrapText="1"/>
    </xf>
    <xf numFmtId="3" fontId="23" fillId="0" borderId="10" xfId="2" applyFont="1" applyFill="1" applyBorder="1" applyAlignment="1">
      <alignment horizontal="centerContinuous" vertical="center"/>
    </xf>
    <xf numFmtId="3" fontId="19" fillId="0" borderId="10" xfId="2" applyFont="1" applyFill="1" applyBorder="1" applyAlignment="1">
      <alignment horizontal="centerContinuous" vertical="center"/>
    </xf>
    <xf numFmtId="3" fontId="10" fillId="0" borderId="10" xfId="2" applyFont="1" applyFill="1" applyBorder="1" applyAlignment="1">
      <alignment horizontal="centerContinuous" vertical="center"/>
    </xf>
    <xf numFmtId="3" fontId="19" fillId="0" borderId="10" xfId="2" applyFont="1" applyFill="1" applyBorder="1" applyAlignment="1">
      <alignment horizontal="centerContinuous" vertical="center" wrapText="1"/>
    </xf>
    <xf numFmtId="3" fontId="19" fillId="0" borderId="4" xfId="2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3" fontId="6" fillId="0" borderId="0" xfId="2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3" fontId="6" fillId="0" borderId="1" xfId="2" applyNumberFormat="1" applyFont="1" applyFill="1" applyBorder="1" applyAlignment="1" applyProtection="1">
      <alignment horizontal="right" vertical="center"/>
      <protection locked="0"/>
    </xf>
    <xf numFmtId="3" fontId="7" fillId="0" borderId="37" xfId="2" applyNumberFormat="1" applyFont="1" applyFill="1" applyBorder="1" applyAlignment="1">
      <alignment horizontal="right" vertical="center"/>
    </xf>
    <xf numFmtId="0" fontId="6" fillId="0" borderId="95" xfId="0" applyFont="1" applyFill="1" applyBorder="1" applyAlignment="1">
      <alignment horizontal="center" vertical="center"/>
    </xf>
    <xf numFmtId="3" fontId="6" fillId="0" borderId="95" xfId="2" applyFont="1" applyFill="1" applyBorder="1" applyAlignment="1">
      <alignment horizontal="center" vertical="center" wrapText="1"/>
    </xf>
    <xf numFmtId="3" fontId="6" fillId="0" borderId="95" xfId="2" applyNumberFormat="1" applyFont="1" applyFill="1" applyBorder="1" applyAlignment="1" applyProtection="1">
      <alignment horizontal="right" vertical="center"/>
      <protection locked="0"/>
    </xf>
    <xf numFmtId="3" fontId="6" fillId="0" borderId="2" xfId="2" applyFont="1" applyFill="1" applyBorder="1" applyAlignment="1">
      <alignment horizontal="center" vertical="center" wrapText="1"/>
    </xf>
    <xf numFmtId="3" fontId="6" fillId="0" borderId="3" xfId="2" applyFont="1" applyFill="1" applyBorder="1" applyAlignment="1">
      <alignment horizontal="center" vertical="center" wrapText="1"/>
    </xf>
    <xf numFmtId="3" fontId="7" fillId="0" borderId="1" xfId="2" applyFont="1" applyFill="1" applyBorder="1" applyAlignment="1">
      <alignment horizontal="center" vertical="center"/>
    </xf>
    <xf numFmtId="3" fontId="7" fillId="0" borderId="2" xfId="2" applyFont="1" applyFill="1" applyBorder="1" applyAlignment="1">
      <alignment horizontal="center" vertical="center"/>
    </xf>
    <xf numFmtId="3" fontId="7" fillId="0" borderId="95" xfId="2" applyFont="1" applyFill="1" applyBorder="1" applyAlignment="1">
      <alignment horizontal="center" vertical="center"/>
    </xf>
    <xf numFmtId="3" fontId="7" fillId="0" borderId="1" xfId="2" applyFont="1" applyFill="1" applyBorder="1" applyAlignment="1">
      <alignment vertical="center" wrapText="1"/>
    </xf>
    <xf numFmtId="3" fontId="7" fillId="0" borderId="2" xfId="2" applyFont="1" applyFill="1" applyBorder="1" applyAlignment="1">
      <alignment vertical="center" wrapText="1"/>
    </xf>
    <xf numFmtId="3" fontId="6" fillId="0" borderId="7" xfId="2" applyFont="1" applyFill="1" applyBorder="1" applyAlignment="1">
      <alignment vertical="center"/>
    </xf>
    <xf numFmtId="3" fontId="6" fillId="0" borderId="0" xfId="2" applyFont="1" applyFill="1" applyBorder="1" applyAlignment="1">
      <alignment vertical="center"/>
    </xf>
    <xf numFmtId="3" fontId="6" fillId="0" borderId="1" xfId="2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3" fontId="6" fillId="0" borderId="44" xfId="2" applyNumberFormat="1" applyFont="1" applyFill="1" applyBorder="1" applyAlignment="1">
      <alignment horizontal="right" vertical="center"/>
    </xf>
    <xf numFmtId="3" fontId="6" fillId="0" borderId="7" xfId="2" applyNumberFormat="1" applyFont="1" applyFill="1" applyBorder="1" applyAlignment="1" applyProtection="1">
      <alignment horizontal="right" vertical="center"/>
      <protection locked="0"/>
    </xf>
    <xf numFmtId="3" fontId="6" fillId="0" borderId="96" xfId="2" applyNumberFormat="1" applyFont="1" applyFill="1" applyBorder="1" applyAlignment="1" applyProtection="1">
      <alignment horizontal="right" vertical="center"/>
      <protection locked="0"/>
    </xf>
    <xf numFmtId="3" fontId="6" fillId="0" borderId="2" xfId="2" applyNumberFormat="1" applyFont="1" applyFill="1" applyBorder="1" applyAlignment="1">
      <alignment horizontal="right" vertical="center"/>
    </xf>
    <xf numFmtId="3" fontId="6" fillId="0" borderId="7" xfId="2" applyNumberFormat="1" applyFont="1" applyFill="1" applyBorder="1" applyAlignment="1">
      <alignment horizontal="right" vertical="center"/>
    </xf>
    <xf numFmtId="3" fontId="7" fillId="0" borderId="96" xfId="2" applyFont="1" applyFill="1" applyBorder="1" applyAlignment="1">
      <alignment horizontal="left" vertical="center"/>
    </xf>
    <xf numFmtId="3" fontId="6" fillId="0" borderId="96" xfId="2" applyNumberFormat="1" applyFont="1" applyFill="1" applyBorder="1" applyAlignment="1">
      <alignment horizontal="right" vertical="center"/>
    </xf>
    <xf numFmtId="3" fontId="7" fillId="0" borderId="13" xfId="2" applyFont="1" applyFill="1" applyBorder="1" applyAlignment="1">
      <alignment horizontal="center" vertical="center" wrapText="1"/>
    </xf>
    <xf numFmtId="3" fontId="6" fillId="0" borderId="13" xfId="2" applyFont="1" applyFill="1" applyBorder="1" applyAlignment="1">
      <alignment horizontal="center" vertical="center" wrapText="1"/>
    </xf>
    <xf numFmtId="3" fontId="7" fillId="0" borderId="9" xfId="2" applyFont="1" applyFill="1" applyBorder="1" applyAlignment="1">
      <alignment horizontal="center" vertical="center" wrapText="1"/>
    </xf>
    <xf numFmtId="3" fontId="7" fillId="0" borderId="10" xfId="2" applyFont="1" applyFill="1" applyBorder="1" applyAlignment="1">
      <alignment horizontal="center" vertical="center" wrapText="1"/>
    </xf>
    <xf numFmtId="3" fontId="6" fillId="0" borderId="10" xfId="2" applyFont="1" applyFill="1" applyBorder="1" applyAlignment="1">
      <alignment horizontal="center" vertical="center" wrapText="1"/>
    </xf>
    <xf numFmtId="3" fontId="16" fillId="0" borderId="2" xfId="2" applyFont="1" applyFill="1" applyBorder="1" applyAlignment="1">
      <alignment horizontal="center" vertical="center" wrapText="1"/>
    </xf>
    <xf numFmtId="3" fontId="15" fillId="0" borderId="7" xfId="2" applyFont="1" applyFill="1" applyBorder="1" applyAlignment="1">
      <alignment horizontal="center" vertical="center" wrapText="1"/>
    </xf>
    <xf numFmtId="3" fontId="29" fillId="0" borderId="7" xfId="2" applyFont="1" applyFill="1" applyBorder="1" applyAlignment="1">
      <alignment horizontal="centerContinuous" vertical="center"/>
    </xf>
    <xf numFmtId="3" fontId="6" fillId="0" borderId="0" xfId="2" applyFont="1" applyFill="1" applyBorder="1" applyAlignment="1">
      <alignment horizontal="centerContinuous" vertical="center" wrapText="1"/>
    </xf>
    <xf numFmtId="3" fontId="16" fillId="0" borderId="7" xfId="2" applyFont="1" applyFill="1" applyBorder="1" applyAlignment="1">
      <alignment horizontal="center" vertical="center" wrapText="1"/>
    </xf>
    <xf numFmtId="3" fontId="16" fillId="0" borderId="0" xfId="2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/>
    </xf>
    <xf numFmtId="0" fontId="22" fillId="0" borderId="0" xfId="0" applyFont="1" applyFill="1" applyBorder="1" applyAlignment="1">
      <alignment vertical="center"/>
    </xf>
    <xf numFmtId="3" fontId="15" fillId="0" borderId="123" xfId="2" applyFont="1" applyFill="1" applyBorder="1" applyAlignment="1">
      <alignment horizontal="center" vertical="center" wrapText="1"/>
    </xf>
    <xf numFmtId="3" fontId="6" fillId="0" borderId="2" xfId="2" applyFont="1" applyFill="1" applyBorder="1" applyAlignment="1">
      <alignment vertical="center" wrapText="1"/>
    </xf>
    <xf numFmtId="3" fontId="7" fillId="0" borderId="37" xfId="1" applyNumberFormat="1" applyFont="1" applyFill="1" applyBorder="1" applyAlignment="1">
      <alignment vertical="center"/>
    </xf>
    <xf numFmtId="3" fontId="15" fillId="0" borderId="96" xfId="2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left" vertical="center"/>
    </xf>
    <xf numFmtId="3" fontId="15" fillId="0" borderId="0" xfId="2" applyFont="1" applyFill="1" applyBorder="1" applyAlignment="1">
      <alignment horizontal="center" vertical="center" wrapText="1"/>
    </xf>
    <xf numFmtId="3" fontId="7" fillId="0" borderId="39" xfId="2" applyFont="1" applyFill="1" applyBorder="1" applyAlignment="1">
      <alignment horizontal="center" vertical="center" wrapText="1"/>
    </xf>
    <xf numFmtId="3" fontId="16" fillId="0" borderId="39" xfId="2" applyFont="1" applyFill="1" applyBorder="1" applyAlignment="1">
      <alignment horizontal="center" vertical="center" wrapText="1"/>
    </xf>
    <xf numFmtId="3" fontId="15" fillId="0" borderId="39" xfId="2" applyFont="1" applyFill="1" applyBorder="1" applyAlignment="1">
      <alignment horizontal="center" vertical="center" wrapText="1"/>
    </xf>
    <xf numFmtId="3" fontId="8" fillId="0" borderId="47" xfId="2" applyFont="1" applyFill="1" applyBorder="1" applyAlignment="1">
      <alignment horizontal="center" vertical="center" wrapText="1"/>
    </xf>
    <xf numFmtId="3" fontId="8" fillId="0" borderId="4" xfId="2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95" xfId="0" applyFont="1" applyFill="1" applyBorder="1" applyAlignment="1">
      <alignment vertical="center"/>
    </xf>
    <xf numFmtId="3" fontId="16" fillId="0" borderId="13" xfId="2" applyFont="1" applyFill="1" applyBorder="1" applyAlignment="1">
      <alignment horizontal="center" vertical="center" wrapText="1"/>
    </xf>
    <xf numFmtId="3" fontId="15" fillId="0" borderId="49" xfId="2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3" fontId="7" fillId="0" borderId="30" xfId="2" applyFont="1" applyFill="1" applyBorder="1" applyAlignment="1">
      <alignment horizontal="center" vertical="center" wrapText="1"/>
    </xf>
    <xf numFmtId="3" fontId="16" fillId="0" borderId="30" xfId="2" applyFont="1" applyFill="1" applyBorder="1" applyAlignment="1">
      <alignment horizontal="center" vertical="center" wrapText="1"/>
    </xf>
    <xf numFmtId="3" fontId="15" fillId="0" borderId="30" xfId="2" applyFont="1" applyFill="1" applyBorder="1" applyAlignment="1">
      <alignment horizontal="center" vertical="center" wrapText="1"/>
    </xf>
    <xf numFmtId="3" fontId="7" fillId="0" borderId="47" xfId="2" applyFont="1" applyFill="1" applyBorder="1" applyAlignment="1">
      <alignment horizontal="center" vertical="center" wrapText="1"/>
    </xf>
    <xf numFmtId="3" fontId="16" fillId="0" borderId="10" xfId="2" applyFont="1" applyFill="1" applyBorder="1" applyAlignment="1">
      <alignment horizontal="center" vertical="center" wrapText="1"/>
    </xf>
    <xf numFmtId="3" fontId="15" fillId="0" borderId="10" xfId="2" applyFont="1" applyFill="1" applyBorder="1" applyAlignment="1">
      <alignment horizontal="center" vertical="center" wrapText="1"/>
    </xf>
    <xf numFmtId="3" fontId="15" fillId="0" borderId="10" xfId="2" applyFont="1" applyFill="1" applyBorder="1" applyAlignment="1">
      <alignment horizontal="left" vertical="center"/>
    </xf>
    <xf numFmtId="165" fontId="8" fillId="0" borderId="10" xfId="2" applyNumberFormat="1" applyFont="1" applyFill="1" applyBorder="1" applyAlignment="1">
      <alignment horizontal="centerContinuous" vertical="center"/>
    </xf>
    <xf numFmtId="3" fontId="6" fillId="0" borderId="10" xfId="2" applyFont="1" applyFill="1" applyBorder="1" applyAlignment="1">
      <alignment horizontal="centerContinuous" vertical="center"/>
    </xf>
    <xf numFmtId="165" fontId="7" fillId="0" borderId="10" xfId="2" applyNumberFormat="1" applyFont="1" applyFill="1" applyBorder="1" applyAlignment="1">
      <alignment horizontal="centerContinuous" vertical="center" wrapText="1"/>
    </xf>
    <xf numFmtId="3" fontId="16" fillId="0" borderId="4" xfId="0" applyNumberFormat="1" applyFont="1" applyFill="1" applyBorder="1" applyAlignment="1">
      <alignment vertical="center"/>
    </xf>
    <xf numFmtId="3" fontId="7" fillId="0" borderId="11" xfId="2" applyFont="1" applyFill="1" applyBorder="1" applyAlignment="1">
      <alignment horizontal="center" vertical="center" wrapText="1"/>
    </xf>
    <xf numFmtId="3" fontId="16" fillId="0" borderId="11" xfId="2" applyFont="1" applyFill="1" applyBorder="1" applyAlignment="1">
      <alignment horizontal="center" vertical="center" wrapText="1"/>
    </xf>
    <xf numFmtId="3" fontId="15" fillId="0" borderId="11" xfId="2" applyFont="1" applyFill="1" applyBorder="1" applyAlignment="1">
      <alignment horizontal="center" vertical="center" wrapText="1"/>
    </xf>
    <xf numFmtId="3" fontId="15" fillId="0" borderId="11" xfId="2" applyFont="1" applyFill="1" applyBorder="1" applyAlignment="1">
      <alignment horizontal="left" vertical="center"/>
    </xf>
    <xf numFmtId="165" fontId="7" fillId="0" borderId="0" xfId="2" applyNumberFormat="1" applyFont="1" applyFill="1" applyBorder="1" applyAlignment="1">
      <alignment horizontal="centerContinuous" vertical="center"/>
    </xf>
    <xf numFmtId="165" fontId="7" fillId="0" borderId="0" xfId="2" applyNumberFormat="1" applyFont="1" applyFill="1" applyBorder="1" applyAlignment="1">
      <alignment horizontal="centerContinuous" vertical="center" wrapText="1"/>
    </xf>
    <xf numFmtId="3" fontId="7" fillId="0" borderId="11" xfId="2" applyNumberFormat="1" applyFont="1" applyFill="1" applyBorder="1" applyAlignment="1">
      <alignment horizontal="right" vertical="center"/>
    </xf>
    <xf numFmtId="3" fontId="16" fillId="0" borderId="1" xfId="2" applyFont="1" applyFill="1" applyBorder="1" applyAlignment="1">
      <alignment horizontal="center" vertical="center"/>
    </xf>
    <xf numFmtId="3" fontId="15" fillId="0" borderId="1" xfId="2" applyFont="1" applyFill="1" applyBorder="1" applyAlignment="1">
      <alignment horizontal="center" vertical="center"/>
    </xf>
    <xf numFmtId="3" fontId="15" fillId="0" borderId="2" xfId="2" applyFont="1" applyFill="1" applyBorder="1" applyAlignment="1">
      <alignment horizontal="center" vertical="center"/>
    </xf>
    <xf numFmtId="3" fontId="6" fillId="0" borderId="0" xfId="2" applyFont="1" applyFill="1" applyBorder="1" applyAlignment="1">
      <alignment vertical="center" wrapText="1"/>
    </xf>
    <xf numFmtId="3" fontId="16" fillId="0" borderId="95" xfId="2" applyFont="1" applyFill="1" applyBorder="1" applyAlignment="1">
      <alignment horizontal="center" vertical="center"/>
    </xf>
    <xf numFmtId="3" fontId="15" fillId="0" borderId="95" xfId="2" applyFont="1" applyFill="1" applyBorder="1" applyAlignment="1">
      <alignment horizontal="center" vertical="center"/>
    </xf>
    <xf numFmtId="3" fontId="15" fillId="0" borderId="50" xfId="2" applyFont="1" applyFill="1" applyBorder="1" applyAlignment="1">
      <alignment horizontal="left" vertical="center"/>
    </xf>
    <xf numFmtId="165" fontId="7" fillId="0" borderId="10" xfId="2" applyNumberFormat="1" applyFont="1" applyFill="1" applyBorder="1" applyAlignment="1">
      <alignment horizontal="centerContinuous" vertical="center"/>
    </xf>
    <xf numFmtId="3" fontId="7" fillId="0" borderId="4" xfId="2" applyNumberFormat="1" applyFont="1" applyFill="1" applyBorder="1" applyAlignment="1">
      <alignment horizontal="right" vertical="center"/>
    </xf>
    <xf numFmtId="3" fontId="15" fillId="0" borderId="1" xfId="2" applyFont="1" applyFill="1" applyBorder="1" applyAlignment="1">
      <alignment horizontal="left" vertical="center"/>
    </xf>
    <xf numFmtId="3" fontId="15" fillId="0" borderId="2" xfId="2" applyFont="1" applyFill="1" applyBorder="1" applyAlignment="1">
      <alignment horizontal="left" vertical="center"/>
    </xf>
    <xf numFmtId="165" fontId="7" fillId="0" borderId="0" xfId="2" applyNumberFormat="1" applyFont="1" applyFill="1" applyBorder="1" applyAlignment="1">
      <alignment horizontal="left" vertical="center" wrapText="1"/>
    </xf>
    <xf numFmtId="3" fontId="29" fillId="0" borderId="0" xfId="2" applyFont="1" applyFill="1" applyBorder="1" applyAlignment="1">
      <alignment horizontal="centerContinuous" vertical="center"/>
    </xf>
    <xf numFmtId="3" fontId="8" fillId="0" borderId="0" xfId="2" applyFont="1" applyFill="1" applyBorder="1" applyAlignment="1">
      <alignment horizontal="centerContinuous" vertical="center"/>
    </xf>
    <xf numFmtId="3" fontId="6" fillId="0" borderId="2" xfId="2" applyFont="1" applyFill="1" applyBorder="1" applyAlignment="1">
      <alignment horizontal="center" vertical="center"/>
    </xf>
    <xf numFmtId="3" fontId="6" fillId="0" borderId="95" xfId="2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3" fontId="7" fillId="0" borderId="51" xfId="2" applyNumberFormat="1" applyFont="1" applyFill="1" applyBorder="1" applyAlignment="1">
      <alignment horizontal="right" vertical="center"/>
    </xf>
    <xf numFmtId="3" fontId="3" fillId="0" borderId="0" xfId="0" applyNumberFormat="1" applyFont="1" applyFill="1"/>
    <xf numFmtId="3" fontId="0" fillId="0" borderId="0" xfId="0" applyNumberFormat="1" applyFont="1" applyFill="1"/>
    <xf numFmtId="0" fontId="0" fillId="0" borderId="0" xfId="0" applyFont="1" applyFill="1" applyBorder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3" fontId="7" fillId="0" borderId="0" xfId="1" applyNumberFormat="1" applyFont="1" applyFill="1" applyBorder="1" applyAlignment="1">
      <alignment vertical="center"/>
    </xf>
    <xf numFmtId="3" fontId="3" fillId="0" borderId="4" xfId="0" applyNumberFormat="1" applyFont="1" applyFill="1" applyBorder="1"/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3" fontId="6" fillId="0" borderId="11" xfId="0" applyNumberFormat="1" applyFont="1" applyFill="1" applyBorder="1" applyAlignment="1">
      <alignment horizontal="center" vertical="center" wrapText="1"/>
    </xf>
    <xf numFmtId="3" fontId="6" fillId="0" borderId="40" xfId="0" applyNumberFormat="1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/>
    </xf>
    <xf numFmtId="3" fontId="3" fillId="0" borderId="96" xfId="0" applyNumberFormat="1" applyFont="1" applyFill="1" applyBorder="1" applyAlignment="1">
      <alignment vertical="center"/>
    </xf>
    <xf numFmtId="3" fontId="3" fillId="0" borderId="95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Continuous" vertical="center"/>
    </xf>
    <xf numFmtId="0" fontId="6" fillId="0" borderId="8" xfId="0" applyFont="1" applyFill="1" applyBorder="1" applyAlignment="1">
      <alignment horizontal="centerContinuous" vertical="center"/>
    </xf>
    <xf numFmtId="3" fontId="7" fillId="0" borderId="42" xfId="0" applyNumberFormat="1" applyFont="1" applyFill="1" applyBorder="1" applyAlignment="1">
      <alignment vertical="center"/>
    </xf>
    <xf numFmtId="3" fontId="7" fillId="0" borderId="55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Continuous" vertical="center"/>
    </xf>
    <xf numFmtId="0" fontId="6" fillId="0" borderId="0" xfId="0" applyFont="1" applyFill="1" applyBorder="1" applyAlignment="1">
      <alignment horizontal="centerContinuous" vertical="center"/>
    </xf>
    <xf numFmtId="3" fontId="7" fillId="0" borderId="1" xfId="0" applyNumberFormat="1" applyFont="1" applyFill="1" applyBorder="1" applyAlignment="1">
      <alignment vertical="center"/>
    </xf>
    <xf numFmtId="3" fontId="7" fillId="0" borderId="96" xfId="0" applyNumberFormat="1" applyFont="1" applyFill="1" applyBorder="1" applyAlignment="1">
      <alignment vertical="center"/>
    </xf>
    <xf numFmtId="3" fontId="7" fillId="0" borderId="95" xfId="0" applyNumberFormat="1" applyFont="1" applyFill="1" applyBorder="1" applyAlignment="1">
      <alignment vertical="center"/>
    </xf>
    <xf numFmtId="0" fontId="1" fillId="0" borderId="0" xfId="0" applyFont="1" applyFill="1"/>
    <xf numFmtId="0" fontId="7" fillId="0" borderId="95" xfId="0" applyFont="1" applyFill="1" applyBorder="1" applyAlignment="1">
      <alignment horizontal="center" vertical="center" wrapText="1"/>
    </xf>
    <xf numFmtId="0" fontId="6" fillId="0" borderId="95" xfId="0" applyFont="1" applyFill="1" applyBorder="1" applyAlignment="1">
      <alignment horizontal="center" vertical="center" wrapText="1"/>
    </xf>
    <xf numFmtId="0" fontId="7" fillId="0" borderId="123" xfId="0" applyFont="1" applyFill="1" applyBorder="1" applyAlignment="1">
      <alignment horizontal="left" vertical="center"/>
    </xf>
    <xf numFmtId="3" fontId="6" fillId="0" borderId="123" xfId="0" applyNumberFormat="1" applyFont="1" applyFill="1" applyBorder="1" applyAlignment="1">
      <alignment vertical="center"/>
    </xf>
    <xf numFmtId="0" fontId="7" fillId="0" borderId="53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7" fillId="0" borderId="96" xfId="0" applyFont="1" applyFill="1" applyBorder="1" applyAlignment="1">
      <alignment horizontal="left" vertical="center"/>
    </xf>
    <xf numFmtId="0" fontId="7" fillId="0" borderId="5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Continuous" vertical="center"/>
    </xf>
    <xf numFmtId="0" fontId="6" fillId="0" borderId="12" xfId="0" applyFont="1" applyFill="1" applyBorder="1" applyAlignment="1">
      <alignment horizontal="centerContinuous" vertical="center"/>
    </xf>
    <xf numFmtId="3" fontId="7" fillId="0" borderId="16" xfId="0" applyNumberFormat="1" applyFont="1" applyFill="1" applyBorder="1" applyAlignment="1">
      <alignment vertical="center"/>
    </xf>
    <xf numFmtId="3" fontId="7" fillId="0" borderId="54" xfId="0" applyNumberFormat="1" applyFont="1" applyFill="1" applyBorder="1" applyAlignment="1">
      <alignment vertical="center"/>
    </xf>
    <xf numFmtId="3" fontId="7" fillId="0" borderId="125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1" fillId="0" borderId="1" xfId="1" applyFont="1" applyFill="1" applyBorder="1" applyAlignment="1">
      <alignment horizontal="center" vertical="center"/>
    </xf>
    <xf numFmtId="0" fontId="29" fillId="0" borderId="7" xfId="1" applyFont="1" applyFill="1" applyBorder="1" applyAlignment="1">
      <alignment horizontal="centerContinuous" vertical="center"/>
    </xf>
    <xf numFmtId="0" fontId="11" fillId="0" borderId="0" xfId="1" applyFont="1" applyFill="1" applyBorder="1" applyAlignment="1">
      <alignment horizontal="centerContinuous" vertical="center"/>
    </xf>
    <xf numFmtId="0" fontId="3" fillId="0" borderId="0" xfId="1" applyFont="1" applyFill="1" applyBorder="1" applyAlignment="1">
      <alignment horizontal="centerContinuous" vertical="center"/>
    </xf>
    <xf numFmtId="3" fontId="3" fillId="0" borderId="1" xfId="1" applyNumberFormat="1" applyFont="1" applyFill="1" applyBorder="1" applyAlignment="1">
      <alignment vertical="center"/>
    </xf>
    <xf numFmtId="3" fontId="3" fillId="0" borderId="96" xfId="1" applyNumberFormat="1" applyFont="1" applyFill="1" applyBorder="1" applyAlignment="1">
      <alignment vertical="center"/>
    </xf>
    <xf numFmtId="3" fontId="3" fillId="0" borderId="95" xfId="1" applyNumberFormat="1" applyFont="1" applyFill="1" applyBorder="1" applyAlignment="1">
      <alignment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3" fontId="6" fillId="0" borderId="1" xfId="1" applyNumberFormat="1" applyFont="1" applyFill="1" applyBorder="1" applyAlignment="1">
      <alignment vertical="center"/>
    </xf>
    <xf numFmtId="3" fontId="6" fillId="0" borderId="96" xfId="1" applyNumberFormat="1" applyFont="1" applyFill="1" applyBorder="1" applyAlignment="1">
      <alignment vertical="center"/>
    </xf>
    <xf numFmtId="3" fontId="6" fillId="0" borderId="95" xfId="1" applyNumberFormat="1" applyFont="1" applyFill="1" applyBorder="1" applyAlignment="1">
      <alignment vertical="center"/>
    </xf>
    <xf numFmtId="0" fontId="7" fillId="0" borderId="14" xfId="0" applyFont="1" applyFill="1" applyBorder="1" applyAlignment="1">
      <alignment horizontal="centerContinuous" vertical="center"/>
    </xf>
    <xf numFmtId="0" fontId="6" fillId="0" borderId="14" xfId="0" applyFont="1" applyFill="1" applyBorder="1" applyAlignment="1">
      <alignment horizontal="centerContinuous" vertical="center"/>
    </xf>
    <xf numFmtId="3" fontId="7" fillId="0" borderId="109" xfId="1" applyNumberFormat="1" applyFont="1" applyFill="1" applyBorder="1" applyAlignment="1">
      <alignment vertical="center"/>
    </xf>
    <xf numFmtId="3" fontId="7" fillId="0" borderId="99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3" fontId="7" fillId="0" borderId="42" xfId="1" applyNumberFormat="1" applyFont="1" applyFill="1" applyBorder="1" applyAlignment="1">
      <alignment vertical="center"/>
    </xf>
    <xf numFmtId="3" fontId="7" fillId="0" borderId="55" xfId="1" applyNumberFormat="1" applyFont="1" applyFill="1" applyBorder="1" applyAlignment="1">
      <alignment vertical="center"/>
    </xf>
    <xf numFmtId="0" fontId="7" fillId="0" borderId="96" xfId="1" applyFont="1" applyFill="1" applyBorder="1" applyAlignment="1">
      <alignment horizontal="left" vertical="center"/>
    </xf>
    <xf numFmtId="0" fontId="7" fillId="0" borderId="55" xfId="1" applyFont="1" applyFill="1" applyBorder="1" applyAlignment="1">
      <alignment horizontal="left" vertical="center"/>
    </xf>
    <xf numFmtId="0" fontId="6" fillId="0" borderId="8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/>
    <xf numFmtId="3" fontId="7" fillId="0" borderId="123" xfId="1" applyNumberFormat="1" applyFont="1" applyFill="1" applyBorder="1" applyAlignment="1">
      <alignment vertical="center"/>
    </xf>
    <xf numFmtId="0" fontId="7" fillId="0" borderId="13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3" fontId="8" fillId="0" borderId="56" xfId="1" applyNumberFormat="1" applyFont="1" applyFill="1" applyBorder="1" applyAlignment="1">
      <alignment vertical="center"/>
    </xf>
    <xf numFmtId="3" fontId="8" fillId="0" borderId="112" xfId="1" applyNumberFormat="1" applyFont="1" applyFill="1" applyBorder="1" applyAlignment="1">
      <alignment vertical="center"/>
    </xf>
    <xf numFmtId="0" fontId="8" fillId="0" borderId="15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vertical="center"/>
    </xf>
    <xf numFmtId="3" fontId="8" fillId="0" borderId="96" xfId="1" applyNumberFormat="1" applyFont="1" applyFill="1" applyBorder="1" applyAlignment="1">
      <alignment vertical="center"/>
    </xf>
    <xf numFmtId="3" fontId="8" fillId="0" borderId="95" xfId="1" applyNumberFormat="1" applyFont="1" applyFill="1" applyBorder="1" applyAlignment="1">
      <alignment vertical="center"/>
    </xf>
    <xf numFmtId="0" fontId="7" fillId="0" borderId="0" xfId="1" applyFont="1" applyFill="1" applyAlignment="1">
      <alignment horizontal="left" vertical="center"/>
    </xf>
    <xf numFmtId="0" fontId="7" fillId="0" borderId="123" xfId="1" applyFont="1" applyFill="1" applyBorder="1" applyAlignment="1">
      <alignment horizontal="left" vertical="center"/>
    </xf>
    <xf numFmtId="3" fontId="6" fillId="0" borderId="123" xfId="1" applyNumberFormat="1" applyFont="1" applyFill="1" applyBorder="1" applyAlignment="1">
      <alignment vertical="center"/>
    </xf>
    <xf numFmtId="3" fontId="15" fillId="0" borderId="95" xfId="0" applyNumberFormat="1" applyFont="1" applyFill="1" applyBorder="1" applyAlignment="1">
      <alignment vertical="center"/>
    </xf>
    <xf numFmtId="0" fontId="7" fillId="0" borderId="7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2" xfId="1" applyFont="1" applyFill="1" applyBorder="1" applyAlignment="1">
      <alignment vertical="center"/>
    </xf>
    <xf numFmtId="3" fontId="7" fillId="0" borderId="57" xfId="1" applyNumberFormat="1" applyFont="1" applyFill="1" applyBorder="1" applyAlignment="1">
      <alignment vertical="center"/>
    </xf>
    <xf numFmtId="3" fontId="7" fillId="0" borderId="113" xfId="1" applyNumberFormat="1" applyFont="1" applyFill="1" applyBorder="1" applyAlignment="1">
      <alignment vertical="center"/>
    </xf>
    <xf numFmtId="3" fontId="7" fillId="0" borderId="101" xfId="1" applyNumberFormat="1" applyFont="1" applyFill="1" applyBorder="1" applyAlignment="1">
      <alignment vertical="center"/>
    </xf>
    <xf numFmtId="0" fontId="7" fillId="0" borderId="58" xfId="1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3" fontId="15" fillId="0" borderId="1" xfId="0" applyNumberFormat="1" applyFont="1" applyFill="1" applyBorder="1" applyAlignment="1">
      <alignment vertical="center"/>
    </xf>
    <xf numFmtId="0" fontId="6" fillId="0" borderId="7" xfId="1" applyFont="1" applyFill="1" applyBorder="1" applyAlignment="1">
      <alignment horizontal="center" vertical="center"/>
    </xf>
    <xf numFmtId="0" fontId="7" fillId="0" borderId="59" xfId="1" applyFont="1" applyFill="1" applyBorder="1" applyAlignment="1">
      <alignment horizontal="left" vertical="center"/>
    </xf>
    <xf numFmtId="0" fontId="7" fillId="0" borderId="23" xfId="1" applyFont="1" applyFill="1" applyBorder="1" applyAlignment="1">
      <alignment horizontal="left" vertical="center"/>
    </xf>
    <xf numFmtId="0" fontId="6" fillId="0" borderId="23" xfId="1" applyFont="1" applyFill="1" applyBorder="1" applyAlignment="1">
      <alignment horizontal="left" vertical="center"/>
    </xf>
    <xf numFmtId="0" fontId="7" fillId="0" borderId="60" xfId="1" applyFont="1" applyFill="1" applyBorder="1" applyAlignment="1">
      <alignment horizontal="left" vertical="center"/>
    </xf>
    <xf numFmtId="3" fontId="7" fillId="0" borderId="61" xfId="1" applyNumberFormat="1" applyFont="1" applyFill="1" applyBorder="1" applyAlignment="1">
      <alignment vertical="center"/>
    </xf>
    <xf numFmtId="3" fontId="7" fillId="0" borderId="59" xfId="1" applyNumberFormat="1" applyFont="1" applyFill="1" applyBorder="1" applyAlignment="1">
      <alignment vertical="center"/>
    </xf>
    <xf numFmtId="0" fontId="7" fillId="0" borderId="62" xfId="1" applyFont="1" applyFill="1" applyBorder="1" applyAlignment="1">
      <alignment horizontal="left" vertical="center"/>
    </xf>
    <xf numFmtId="3" fontId="7" fillId="0" borderId="63" xfId="1" applyNumberFormat="1" applyFont="1" applyFill="1" applyBorder="1" applyAlignment="1">
      <alignment vertical="center"/>
    </xf>
    <xf numFmtId="3" fontId="7" fillId="0" borderId="114" xfId="1" applyNumberFormat="1" applyFont="1" applyFill="1" applyBorder="1" applyAlignment="1">
      <alignment vertical="center"/>
    </xf>
    <xf numFmtId="0" fontId="6" fillId="0" borderId="95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/>
    </xf>
    <xf numFmtId="0" fontId="7" fillId="0" borderId="65" xfId="1" applyFont="1" applyFill="1" applyBorder="1" applyAlignment="1">
      <alignment horizontal="left" vertical="center"/>
    </xf>
    <xf numFmtId="3" fontId="16" fillId="0" borderId="128" xfId="0" applyNumberFormat="1" applyFont="1" applyFill="1" applyBorder="1" applyAlignment="1">
      <alignment vertical="center"/>
    </xf>
    <xf numFmtId="0" fontId="7" fillId="0" borderId="18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3" fontId="7" fillId="0" borderId="66" xfId="1" applyNumberFormat="1" applyFont="1" applyFill="1" applyBorder="1" applyAlignment="1">
      <alignment horizontal="right" vertical="center"/>
    </xf>
    <xf numFmtId="3" fontId="7" fillId="0" borderId="110" xfId="1" applyNumberFormat="1" applyFont="1" applyFill="1" applyBorder="1" applyAlignment="1">
      <alignment horizontal="right" vertical="center"/>
    </xf>
    <xf numFmtId="0" fontId="7" fillId="0" borderId="39" xfId="1" applyFont="1" applyFill="1" applyBorder="1" applyAlignment="1">
      <alignment horizontal="center" vertical="center"/>
    </xf>
    <xf numFmtId="0" fontId="6" fillId="0" borderId="39" xfId="1" applyFont="1" applyFill="1" applyBorder="1" applyAlignment="1">
      <alignment horizontal="center" vertical="center"/>
    </xf>
    <xf numFmtId="3" fontId="7" fillId="0" borderId="18" xfId="1" applyNumberFormat="1" applyFont="1" applyFill="1" applyBorder="1" applyAlignment="1">
      <alignment horizontal="right" vertical="center"/>
    </xf>
    <xf numFmtId="0" fontId="5" fillId="0" borderId="67" xfId="1" applyFont="1" applyFill="1" applyBorder="1" applyAlignment="1">
      <alignment horizontal="center" vertical="center"/>
    </xf>
    <xf numFmtId="3" fontId="7" fillId="0" borderId="39" xfId="1" applyNumberFormat="1" applyFont="1" applyFill="1" applyBorder="1" applyAlignment="1">
      <alignment vertical="center"/>
    </xf>
    <xf numFmtId="3" fontId="7" fillId="0" borderId="18" xfId="1" applyNumberFormat="1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vertical="center"/>
    </xf>
    <xf numFmtId="0" fontId="16" fillId="0" borderId="0" xfId="1" applyFont="1" applyFill="1" applyBorder="1" applyAlignment="1">
      <alignment horizontal="left" vertical="center"/>
    </xf>
    <xf numFmtId="3" fontId="11" fillId="0" borderId="1" xfId="1" applyNumberFormat="1" applyFont="1" applyFill="1" applyBorder="1" applyAlignment="1">
      <alignment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96" xfId="1" applyNumberFormat="1" applyFont="1" applyFill="1" applyBorder="1" applyAlignment="1">
      <alignment horizontal="right" vertical="center"/>
    </xf>
    <xf numFmtId="3" fontId="6" fillId="0" borderId="95" xfId="1" applyNumberFormat="1" applyFont="1" applyFill="1" applyBorder="1" applyAlignment="1">
      <alignment horizontal="right" vertical="center"/>
    </xf>
    <xf numFmtId="0" fontId="6" fillId="0" borderId="8" xfId="1" applyFont="1" applyFill="1" applyBorder="1" applyAlignment="1">
      <alignment vertical="center"/>
    </xf>
    <xf numFmtId="3" fontId="7" fillId="0" borderId="57" xfId="1" applyNumberFormat="1" applyFont="1" applyFill="1" applyBorder="1" applyAlignment="1">
      <alignment horizontal="right" vertical="center"/>
    </xf>
    <xf numFmtId="3" fontId="7" fillId="0" borderId="113" xfId="1" applyNumberFormat="1" applyFont="1" applyFill="1" applyBorder="1" applyAlignment="1">
      <alignment horizontal="right" vertical="center"/>
    </xf>
    <xf numFmtId="3" fontId="7" fillId="0" borderId="101" xfId="1" applyNumberFormat="1" applyFont="1" applyFill="1" applyBorder="1" applyAlignment="1">
      <alignment horizontal="right" vertical="center"/>
    </xf>
    <xf numFmtId="3" fontId="7" fillId="0" borderId="48" xfId="1" applyNumberFormat="1" applyFont="1" applyFill="1" applyBorder="1" applyAlignment="1">
      <alignment horizontal="right" vertical="center"/>
    </xf>
    <xf numFmtId="0" fontId="6" fillId="0" borderId="68" xfId="1" applyFont="1" applyFill="1" applyBorder="1" applyAlignment="1">
      <alignment horizontal="left" vertical="center"/>
    </xf>
    <xf numFmtId="3" fontId="1" fillId="0" borderId="0" xfId="0" applyNumberFormat="1" applyFont="1" applyFill="1"/>
    <xf numFmtId="3" fontId="7" fillId="0" borderId="42" xfId="1" applyNumberFormat="1" applyFont="1" applyFill="1" applyBorder="1" applyAlignment="1">
      <alignment horizontal="right" vertical="center"/>
    </xf>
    <xf numFmtId="3" fontId="7" fillId="0" borderId="55" xfId="1" applyNumberFormat="1" applyFont="1" applyFill="1" applyBorder="1" applyAlignment="1">
      <alignment horizontal="right" vertical="center"/>
    </xf>
    <xf numFmtId="3" fontId="0" fillId="0" borderId="69" xfId="0" applyNumberFormat="1" applyFont="1" applyFill="1" applyBorder="1"/>
    <xf numFmtId="0" fontId="6" fillId="0" borderId="0" xfId="0" applyFont="1" applyFill="1"/>
    <xf numFmtId="3" fontId="0" fillId="0" borderId="95" xfId="0" applyNumberFormat="1" applyFont="1" applyFill="1" applyBorder="1"/>
    <xf numFmtId="3" fontId="11" fillId="0" borderId="0" xfId="1" applyNumberFormat="1" applyFont="1" applyFill="1" applyBorder="1" applyAlignment="1">
      <alignment vertical="center"/>
    </xf>
    <xf numFmtId="3" fontId="11" fillId="0" borderId="95" xfId="1" applyNumberFormat="1" applyFont="1" applyFill="1" applyBorder="1" applyAlignment="1">
      <alignment vertical="center"/>
    </xf>
    <xf numFmtId="3" fontId="7" fillId="0" borderId="7" xfId="1" applyNumberFormat="1" applyFont="1" applyFill="1" applyBorder="1" applyAlignment="1">
      <alignment vertical="center"/>
    </xf>
    <xf numFmtId="3" fontId="7" fillId="0" borderId="111" xfId="1" applyNumberFormat="1" applyFont="1" applyFill="1" applyBorder="1" applyAlignment="1">
      <alignment vertical="center"/>
    </xf>
    <xf numFmtId="3" fontId="7" fillId="0" borderId="33" xfId="1" applyNumberFormat="1" applyFont="1" applyFill="1" applyBorder="1" applyAlignment="1">
      <alignment vertical="center"/>
    </xf>
    <xf numFmtId="3" fontId="7" fillId="0" borderId="79" xfId="1" applyNumberFormat="1" applyFont="1" applyFill="1" applyBorder="1" applyAlignment="1">
      <alignment vertical="center"/>
    </xf>
    <xf numFmtId="0" fontId="6" fillId="0" borderId="111" xfId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44" xfId="1" applyNumberFormat="1" applyFont="1" applyFill="1" applyBorder="1" applyAlignment="1">
      <alignment horizontal="right" vertical="center"/>
    </xf>
    <xf numFmtId="3" fontId="7" fillId="0" borderId="92" xfId="1" applyNumberFormat="1" applyFont="1" applyFill="1" applyBorder="1" applyAlignment="1">
      <alignment vertical="center"/>
    </xf>
    <xf numFmtId="3" fontId="7" fillId="0" borderId="93" xfId="1" applyNumberFormat="1" applyFont="1" applyFill="1" applyBorder="1" applyAlignment="1">
      <alignment vertical="center"/>
    </xf>
    <xf numFmtId="3" fontId="7" fillId="0" borderId="38" xfId="1" applyNumberFormat="1" applyFont="1" applyFill="1" applyBorder="1" applyAlignment="1">
      <alignment vertical="center"/>
    </xf>
    <xf numFmtId="3" fontId="7" fillId="0" borderId="91" xfId="1" applyNumberFormat="1" applyFont="1" applyFill="1" applyBorder="1" applyAlignment="1">
      <alignment vertical="center"/>
    </xf>
    <xf numFmtId="3" fontId="7" fillId="0" borderId="48" xfId="1" applyNumberFormat="1" applyFont="1" applyFill="1" applyBorder="1" applyAlignment="1">
      <alignment vertical="center"/>
    </xf>
    <xf numFmtId="3" fontId="6" fillId="0" borderId="7" xfId="1" applyNumberFormat="1" applyFont="1" applyFill="1" applyBorder="1" applyAlignment="1">
      <alignment vertical="center"/>
    </xf>
    <xf numFmtId="3" fontId="6" fillId="0" borderId="111" xfId="1" applyNumberFormat="1" applyFont="1" applyFill="1" applyBorder="1" applyAlignment="1">
      <alignment horizontal="right" vertical="center"/>
    </xf>
    <xf numFmtId="3" fontId="7" fillId="0" borderId="97" xfId="1" applyNumberFormat="1" applyFont="1" applyFill="1" applyBorder="1" applyAlignment="1">
      <alignment vertical="center"/>
    </xf>
    <xf numFmtId="3" fontId="7" fillId="0" borderId="115" xfId="1" applyNumberFormat="1" applyFont="1" applyFill="1" applyBorder="1" applyAlignment="1">
      <alignment vertical="center"/>
    </xf>
    <xf numFmtId="3" fontId="7" fillId="0" borderId="98" xfId="1" applyNumberFormat="1" applyFont="1" applyFill="1" applyBorder="1" applyAlignment="1">
      <alignment vertical="center"/>
    </xf>
    <xf numFmtId="3" fontId="7" fillId="0" borderId="116" xfId="1" applyNumberFormat="1" applyFont="1" applyFill="1" applyBorder="1" applyAlignment="1">
      <alignment vertical="center"/>
    </xf>
    <xf numFmtId="3" fontId="7" fillId="0" borderId="100" xfId="1" applyNumberFormat="1" applyFont="1" applyFill="1" applyBorder="1" applyAlignment="1">
      <alignment vertical="center"/>
    </xf>
    <xf numFmtId="3" fontId="7" fillId="0" borderId="94" xfId="1" applyNumberFormat="1" applyFont="1" applyFill="1" applyBorder="1" applyAlignment="1">
      <alignment horizontal="right" vertical="center"/>
    </xf>
    <xf numFmtId="3" fontId="7" fillId="0" borderId="117" xfId="1" applyNumberFormat="1" applyFont="1" applyFill="1" applyBorder="1" applyAlignment="1">
      <alignment horizontal="right" vertical="center"/>
    </xf>
    <xf numFmtId="3" fontId="7" fillId="0" borderId="79" xfId="1" applyNumberFormat="1" applyFont="1" applyFill="1" applyBorder="1" applyAlignment="1">
      <alignment horizontal="right" vertical="center"/>
    </xf>
    <xf numFmtId="3" fontId="7" fillId="0" borderId="118" xfId="1" applyNumberFormat="1" applyFont="1" applyFill="1" applyBorder="1" applyAlignment="1">
      <alignment horizontal="right" vertical="center"/>
    </xf>
    <xf numFmtId="3" fontId="6" fillId="0" borderId="79" xfId="1" applyNumberFormat="1" applyFont="1" applyFill="1" applyBorder="1" applyAlignment="1">
      <alignment horizontal="right" vertical="center"/>
    </xf>
    <xf numFmtId="3" fontId="7" fillId="0" borderId="13" xfId="1" applyNumberFormat="1" applyFont="1" applyFill="1" applyBorder="1" applyAlignment="1">
      <alignment horizontal="right" vertical="center"/>
    </xf>
    <xf numFmtId="3" fontId="7" fillId="0" borderId="119" xfId="1" applyNumberFormat="1" applyFont="1" applyFill="1" applyBorder="1" applyAlignment="1">
      <alignment horizontal="right" vertical="center"/>
    </xf>
    <xf numFmtId="3" fontId="7" fillId="0" borderId="80" xfId="1" applyNumberFormat="1" applyFont="1" applyFill="1" applyBorder="1" applyAlignment="1">
      <alignment horizontal="right" vertical="center"/>
    </xf>
    <xf numFmtId="3" fontId="7" fillId="0" borderId="81" xfId="1" applyNumberFormat="1" applyFont="1" applyFill="1" applyBorder="1" applyAlignment="1">
      <alignment horizontal="right" vertical="center"/>
    </xf>
    <xf numFmtId="3" fontId="7" fillId="0" borderId="70" xfId="1" applyNumberFormat="1" applyFont="1" applyFill="1" applyBorder="1" applyAlignment="1">
      <alignment vertical="center"/>
    </xf>
    <xf numFmtId="3" fontId="7" fillId="0" borderId="120" xfId="1" applyNumberFormat="1" applyFont="1" applyFill="1" applyBorder="1" applyAlignment="1">
      <alignment vertical="center"/>
    </xf>
    <xf numFmtId="3" fontId="7" fillId="0" borderId="126" xfId="1" applyNumberFormat="1" applyFont="1" applyFill="1" applyBorder="1" applyAlignment="1">
      <alignment vertical="center"/>
    </xf>
    <xf numFmtId="3" fontId="7" fillId="0" borderId="80" xfId="1" applyNumberFormat="1" applyFont="1" applyFill="1" applyBorder="1" applyAlignment="1">
      <alignment vertical="center"/>
    </xf>
    <xf numFmtId="3" fontId="7" fillId="0" borderId="81" xfId="1" applyNumberFormat="1" applyFont="1" applyFill="1" applyBorder="1" applyAlignment="1">
      <alignment vertical="center"/>
    </xf>
    <xf numFmtId="3" fontId="7" fillId="0" borderId="13" xfId="1" applyNumberFormat="1" applyFont="1" applyFill="1" applyBorder="1" applyAlignment="1">
      <alignment vertical="center"/>
    </xf>
    <xf numFmtId="0" fontId="15" fillId="0" borderId="0" xfId="1" applyFont="1" applyFill="1" applyBorder="1" applyAlignment="1">
      <alignment horizontal="left" vertical="center" wrapText="1"/>
    </xf>
    <xf numFmtId="3" fontId="6" fillId="0" borderId="123" xfId="1" applyNumberFormat="1" applyFont="1" applyFill="1" applyBorder="1" applyAlignment="1">
      <alignment horizontal="right" vertical="center"/>
    </xf>
    <xf numFmtId="3" fontId="7" fillId="0" borderId="123" xfId="1" applyNumberFormat="1" applyFont="1" applyFill="1" applyBorder="1" applyAlignment="1">
      <alignment horizontal="right" vertical="center"/>
    </xf>
    <xf numFmtId="0" fontId="7" fillId="0" borderId="15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11" fillId="0" borderId="54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left" vertical="center"/>
    </xf>
    <xf numFmtId="0" fontId="11" fillId="0" borderId="12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vertical="center"/>
    </xf>
    <xf numFmtId="3" fontId="7" fillId="0" borderId="71" xfId="1" applyNumberFormat="1" applyFont="1" applyFill="1" applyBorder="1" applyAlignment="1">
      <alignment vertical="center"/>
    </xf>
    <xf numFmtId="3" fontId="7" fillId="0" borderId="122" xfId="1" applyNumberFormat="1" applyFont="1" applyFill="1" applyBorder="1" applyAlignment="1">
      <alignment vertical="center"/>
    </xf>
    <xf numFmtId="0" fontId="7" fillId="0" borderId="54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left" vertical="center"/>
    </xf>
    <xf numFmtId="3" fontId="7" fillId="0" borderId="16" xfId="1" applyNumberFormat="1" applyFont="1" applyFill="1" applyBorder="1" applyAlignment="1">
      <alignment vertical="center"/>
    </xf>
    <xf numFmtId="3" fontId="7" fillId="0" borderId="54" xfId="1" applyNumberFormat="1" applyFont="1" applyFill="1" applyBorder="1" applyAlignment="1">
      <alignment vertical="center"/>
    </xf>
    <xf numFmtId="3" fontId="7" fillId="0" borderId="125" xfId="1" applyNumberFormat="1" applyFont="1" applyFill="1" applyBorder="1" applyAlignment="1">
      <alignment vertical="center"/>
    </xf>
    <xf numFmtId="3" fontId="7" fillId="0" borderId="44" xfId="1" applyNumberFormat="1" applyFont="1" applyFill="1" applyBorder="1" applyAlignment="1">
      <alignment vertical="center"/>
    </xf>
    <xf numFmtId="0" fontId="6" fillId="0" borderId="2" xfId="1" applyFont="1" applyFill="1" applyBorder="1" applyAlignment="1">
      <alignment horizontal="left" vertical="center"/>
    </xf>
    <xf numFmtId="3" fontId="6" fillId="0" borderId="2" xfId="1" applyNumberFormat="1" applyFont="1" applyFill="1" applyBorder="1" applyAlignment="1">
      <alignment vertical="center"/>
    </xf>
    <xf numFmtId="3" fontId="7" fillId="0" borderId="74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3" fontId="7" fillId="0" borderId="2" xfId="1" applyNumberFormat="1" applyFont="1" applyFill="1" applyBorder="1" applyAlignment="1">
      <alignment horizontal="right" vertical="center"/>
    </xf>
    <xf numFmtId="3" fontId="0" fillId="0" borderId="75" xfId="0" applyNumberFormat="1" applyFont="1" applyFill="1" applyBorder="1"/>
    <xf numFmtId="0" fontId="11" fillId="0" borderId="0" xfId="1" applyFont="1" applyFill="1" applyBorder="1" applyAlignment="1">
      <alignment vertical="center"/>
    </xf>
    <xf numFmtId="3" fontId="11" fillId="0" borderId="96" xfId="1" applyNumberFormat="1" applyFont="1" applyFill="1" applyBorder="1" applyAlignment="1">
      <alignment vertical="center"/>
    </xf>
    <xf numFmtId="3" fontId="13" fillId="0" borderId="95" xfId="1" applyNumberFormat="1" applyFont="1" applyFill="1" applyBorder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7" fillId="0" borderId="0" xfId="1" quotePrefix="1" applyFont="1" applyFill="1" applyBorder="1" applyAlignment="1">
      <alignment vertical="center"/>
    </xf>
    <xf numFmtId="3" fontId="16" fillId="0" borderId="95" xfId="1" applyNumberFormat="1" applyFont="1" applyFill="1" applyBorder="1" applyAlignment="1">
      <alignment vertical="center"/>
    </xf>
    <xf numFmtId="0" fontId="7" fillId="0" borderId="32" xfId="1" applyFont="1" applyFill="1" applyBorder="1" applyAlignment="1">
      <alignment horizontal="center" vertical="center"/>
    </xf>
    <xf numFmtId="0" fontId="6" fillId="0" borderId="32" xfId="1" applyFont="1" applyFill="1" applyBorder="1" applyAlignment="1">
      <alignment horizontal="center" vertical="center"/>
    </xf>
    <xf numFmtId="0" fontId="7" fillId="0" borderId="76" xfId="1" applyFont="1" applyFill="1" applyBorder="1" applyAlignment="1">
      <alignment horizontal="center" vertical="center"/>
    </xf>
    <xf numFmtId="0" fontId="7" fillId="0" borderId="77" xfId="1" applyFont="1" applyFill="1" applyBorder="1" applyAlignment="1">
      <alignment horizontal="center" vertical="center"/>
    </xf>
    <xf numFmtId="0" fontId="7" fillId="0" borderId="78" xfId="1" applyFont="1" applyFill="1" applyBorder="1" applyAlignment="1">
      <alignment horizontal="center" vertical="center"/>
    </xf>
    <xf numFmtId="3" fontId="7" fillId="0" borderId="32" xfId="1" applyNumberFormat="1" applyFont="1" applyFill="1" applyBorder="1" applyAlignment="1">
      <alignment vertical="center"/>
    </xf>
    <xf numFmtId="3" fontId="7" fillId="0" borderId="76" xfId="1" applyNumberFormat="1" applyFont="1" applyFill="1" applyBorder="1" applyAlignment="1">
      <alignment vertical="center"/>
    </xf>
    <xf numFmtId="3" fontId="7" fillId="0" borderId="127" xfId="1" applyNumberFormat="1" applyFont="1" applyFill="1" applyBorder="1" applyAlignment="1">
      <alignment vertical="center"/>
    </xf>
    <xf numFmtId="0" fontId="11" fillId="0" borderId="33" xfId="1" applyFont="1" applyFill="1" applyBorder="1" applyAlignment="1">
      <alignment horizontal="center" vertical="center"/>
    </xf>
    <xf numFmtId="0" fontId="3" fillId="0" borderId="33" xfId="1" applyFont="1" applyFill="1" applyBorder="1" applyAlignment="1">
      <alignment horizontal="center" vertical="center"/>
    </xf>
    <xf numFmtId="0" fontId="29" fillId="0" borderId="79" xfId="1" applyFont="1" applyFill="1" applyBorder="1" applyAlignment="1">
      <alignment horizontal="centerContinuous" vertical="center"/>
    </xf>
    <xf numFmtId="0" fontId="3" fillId="0" borderId="45" xfId="1" applyFont="1" applyFill="1" applyBorder="1" applyAlignment="1">
      <alignment horizontal="centerContinuous" vertical="center"/>
    </xf>
    <xf numFmtId="3" fontId="3" fillId="0" borderId="33" xfId="1" applyNumberFormat="1" applyFont="1" applyFill="1" applyBorder="1" applyAlignment="1">
      <alignment vertical="center"/>
    </xf>
    <xf numFmtId="3" fontId="3" fillId="0" borderId="111" xfId="1" applyNumberFormat="1" applyFont="1" applyFill="1" applyBorder="1" applyAlignment="1">
      <alignment vertical="center"/>
    </xf>
    <xf numFmtId="0" fontId="13" fillId="0" borderId="33" xfId="1" applyFont="1" applyFill="1" applyBorder="1" applyAlignment="1">
      <alignment horizontal="center" vertical="center"/>
    </xf>
    <xf numFmtId="0" fontId="11" fillId="0" borderId="79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horizontal="center" vertical="center"/>
    </xf>
    <xf numFmtId="0" fontId="6" fillId="0" borderId="33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0" fillId="0" borderId="95" xfId="0" applyFont="1" applyFill="1" applyBorder="1"/>
    <xf numFmtId="3" fontId="7" fillId="0" borderId="102" xfId="2" applyFont="1" applyFill="1" applyBorder="1" applyAlignment="1">
      <alignment horizontal="center" vertical="center" wrapText="1"/>
    </xf>
    <xf numFmtId="3" fontId="6" fillId="0" borderId="102" xfId="2" applyFont="1" applyFill="1" applyBorder="1" applyAlignment="1">
      <alignment horizontal="center" vertical="center" wrapText="1"/>
    </xf>
    <xf numFmtId="3" fontId="7" fillId="0" borderId="80" xfId="2" applyFont="1" applyFill="1" applyBorder="1" applyAlignment="1">
      <alignment horizontal="center" vertical="center" wrapText="1"/>
    </xf>
    <xf numFmtId="3" fontId="6" fillId="0" borderId="80" xfId="2" applyFont="1" applyFill="1" applyBorder="1" applyAlignment="1">
      <alignment horizontal="center" vertical="center" wrapText="1"/>
    </xf>
    <xf numFmtId="3" fontId="7" fillId="0" borderId="16" xfId="1" applyNumberFormat="1" applyFont="1" applyFill="1" applyBorder="1" applyAlignment="1">
      <alignment horizontal="right" vertical="center"/>
    </xf>
    <xf numFmtId="3" fontId="7" fillId="0" borderId="54" xfId="1" applyNumberFormat="1" applyFont="1" applyFill="1" applyBorder="1" applyAlignment="1">
      <alignment horizontal="right" vertical="center"/>
    </xf>
    <xf numFmtId="3" fontId="7" fillId="0" borderId="125" xfId="1" applyNumberFormat="1" applyFont="1" applyFill="1" applyBorder="1" applyAlignment="1">
      <alignment horizontal="right" vertical="center"/>
    </xf>
    <xf numFmtId="3" fontId="7" fillId="0" borderId="0" xfId="2" applyNumberFormat="1" applyFont="1" applyFill="1" applyBorder="1" applyAlignment="1">
      <alignment horizontal="right" vertical="center"/>
    </xf>
    <xf numFmtId="3" fontId="7" fillId="0" borderId="131" xfId="1" applyNumberFormat="1" applyFont="1" applyFill="1" applyBorder="1" applyAlignment="1">
      <alignment vertical="center"/>
    </xf>
    <xf numFmtId="0" fontId="7" fillId="0" borderId="132" xfId="1" applyFont="1" applyFill="1" applyBorder="1" applyAlignment="1">
      <alignment horizontal="center" vertical="center"/>
    </xf>
    <xf numFmtId="0" fontId="6" fillId="0" borderId="133" xfId="1" applyFont="1" applyFill="1" applyBorder="1" applyAlignment="1">
      <alignment horizontal="center" vertical="center"/>
    </xf>
    <xf numFmtId="3" fontId="7" fillId="0" borderId="15" xfId="1" applyNumberFormat="1" applyFont="1" applyFill="1" applyBorder="1" applyAlignment="1">
      <alignment horizontal="right" vertical="center"/>
    </xf>
    <xf numFmtId="3" fontId="7" fillId="0" borderId="134" xfId="1" applyNumberFormat="1" applyFont="1" applyFill="1" applyBorder="1" applyAlignment="1">
      <alignment vertical="center"/>
    </xf>
    <xf numFmtId="0" fontId="7" fillId="0" borderId="135" xfId="1" applyFont="1" applyFill="1" applyBorder="1" applyAlignment="1">
      <alignment horizontal="center" vertical="center"/>
    </xf>
    <xf numFmtId="0" fontId="6" fillId="0" borderId="136" xfId="1" applyFont="1" applyFill="1" applyBorder="1" applyAlignment="1">
      <alignment horizontal="center" vertical="center"/>
    </xf>
    <xf numFmtId="3" fontId="7" fillId="0" borderId="15" xfId="2" applyNumberFormat="1" applyFont="1" applyFill="1" applyBorder="1" applyAlignment="1">
      <alignment horizontal="right" vertical="center"/>
    </xf>
    <xf numFmtId="3" fontId="7" fillId="0" borderId="138" xfId="2" applyNumberFormat="1" applyFont="1" applyFill="1" applyBorder="1" applyAlignment="1">
      <alignment horizontal="right" vertical="center"/>
    </xf>
    <xf numFmtId="3" fontId="7" fillId="0" borderId="133" xfId="1" applyNumberFormat="1" applyFont="1" applyFill="1" applyBorder="1" applyAlignment="1">
      <alignment vertical="center"/>
    </xf>
    <xf numFmtId="3" fontId="6" fillId="0" borderId="96" xfId="2" applyFont="1" applyFill="1" applyBorder="1" applyAlignment="1">
      <alignment horizontal="left" vertical="center"/>
    </xf>
    <xf numFmtId="3" fontId="16" fillId="0" borderId="139" xfId="2" applyFont="1" applyFill="1" applyBorder="1" applyAlignment="1">
      <alignment horizontal="center" vertical="center" wrapText="1"/>
    </xf>
    <xf numFmtId="3" fontId="15" fillId="0" borderId="139" xfId="2" applyFont="1" applyFill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left" vertical="center" wrapText="1"/>
    </xf>
    <xf numFmtId="3" fontId="14" fillId="0" borderId="0" xfId="0" applyNumberFormat="1" applyFont="1" applyFill="1" applyAlignment="1">
      <alignment horizontal="left" vertical="center"/>
    </xf>
    <xf numFmtId="3" fontId="14" fillId="0" borderId="0" xfId="0" applyNumberFormat="1" applyFont="1" applyFill="1" applyAlignment="1">
      <alignment horizontal="center" vertical="center"/>
    </xf>
    <xf numFmtId="3" fontId="14" fillId="0" borderId="0" xfId="0" applyNumberFormat="1" applyFont="1" applyFill="1" applyAlignment="1">
      <alignment vertical="center"/>
    </xf>
    <xf numFmtId="3" fontId="20" fillId="0" borderId="0" xfId="0" applyNumberFormat="1" applyFont="1" applyFill="1" applyAlignment="1">
      <alignment horizontal="left" vertical="center" wrapText="1"/>
    </xf>
    <xf numFmtId="4" fontId="20" fillId="0" borderId="0" xfId="0" applyNumberFormat="1" applyFont="1" applyFill="1" applyAlignment="1">
      <alignment horizontal="left" vertical="center" wrapText="1"/>
    </xf>
    <xf numFmtId="3" fontId="14" fillId="0" borderId="0" xfId="0" applyNumberFormat="1" applyFont="1" applyFill="1" applyAlignment="1">
      <alignment horizontal="center" vertical="center" wrapText="1"/>
    </xf>
    <xf numFmtId="3" fontId="14" fillId="0" borderId="0" xfId="0" applyNumberFormat="1" applyFont="1" applyFill="1" applyAlignment="1">
      <alignment horizontal="right" vertical="center"/>
    </xf>
    <xf numFmtId="4" fontId="14" fillId="0" borderId="0" xfId="0" applyNumberFormat="1" applyFont="1" applyFill="1" applyAlignment="1">
      <alignment horizontal="right" vertical="center"/>
    </xf>
    <xf numFmtId="0" fontId="23" fillId="0" borderId="16" xfId="0" applyFont="1" applyFill="1" applyBorder="1" applyAlignment="1">
      <alignment vertical="center" wrapText="1"/>
    </xf>
    <xf numFmtId="3" fontId="14" fillId="0" borderId="16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vertical="center"/>
    </xf>
    <xf numFmtId="3" fontId="7" fillId="0" borderId="0" xfId="2" applyFont="1" applyFill="1" applyBorder="1" applyAlignment="1">
      <alignment horizontal="left" vertical="center" wrapText="1"/>
    </xf>
    <xf numFmtId="3" fontId="6" fillId="0" borderId="0" xfId="2" applyFont="1" applyFill="1" applyBorder="1" applyAlignment="1">
      <alignment horizontal="left" vertical="center"/>
    </xf>
    <xf numFmtId="3" fontId="7" fillId="0" borderId="0" xfId="2" applyFont="1" applyFill="1" applyBorder="1" applyAlignment="1">
      <alignment horizontal="left" vertical="center"/>
    </xf>
    <xf numFmtId="3" fontId="7" fillId="0" borderId="7" xfId="2" applyFont="1" applyFill="1" applyBorder="1" applyAlignment="1">
      <alignment horizontal="left" vertical="center"/>
    </xf>
    <xf numFmtId="3" fontId="7" fillId="0" borderId="18" xfId="2" applyFont="1" applyFill="1" applyBorder="1" applyAlignment="1">
      <alignment horizontal="center" vertical="center" wrapText="1"/>
    </xf>
    <xf numFmtId="3" fontId="7" fillId="0" borderId="3" xfId="2" applyFont="1" applyFill="1" applyBorder="1" applyAlignment="1">
      <alignment horizontal="center" vertical="center" wrapText="1"/>
    </xf>
    <xf numFmtId="3" fontId="16" fillId="0" borderId="95" xfId="1" applyNumberFormat="1" applyFont="1" applyFill="1" applyBorder="1" applyAlignment="1">
      <alignment horizontal="right" vertical="center"/>
    </xf>
    <xf numFmtId="3" fontId="3" fillId="0" borderId="4" xfId="2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86" xfId="1" applyFont="1" applyFill="1" applyBorder="1" applyAlignment="1">
      <alignment horizontal="center" vertical="center"/>
    </xf>
    <xf numFmtId="0" fontId="7" fillId="0" borderId="96" xfId="1" applyFont="1" applyFill="1" applyBorder="1" applyAlignment="1">
      <alignment horizontal="left" vertical="center" wrapText="1"/>
    </xf>
    <xf numFmtId="0" fontId="7" fillId="0" borderId="136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7" fillId="0" borderId="12" xfId="1" applyFont="1" applyFill="1" applyBorder="1" applyAlignment="1">
      <alignment horizontal="center" vertical="center"/>
    </xf>
    <xf numFmtId="0" fontId="7" fillId="0" borderId="133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3" fontId="7" fillId="0" borderId="95" xfId="1" applyNumberFormat="1" applyFont="1" applyFill="1" applyBorder="1" applyAlignment="1">
      <alignment horizontal="right" vertical="center"/>
    </xf>
    <xf numFmtId="3" fontId="7" fillId="0" borderId="96" xfId="1" applyNumberFormat="1" applyFont="1" applyFill="1" applyBorder="1" applyAlignment="1">
      <alignment horizontal="right" vertical="center"/>
    </xf>
    <xf numFmtId="3" fontId="7" fillId="0" borderId="1" xfId="1" applyNumberFormat="1" applyFont="1" applyFill="1" applyBorder="1" applyAlignment="1">
      <alignment horizontal="right" vertical="center"/>
    </xf>
    <xf numFmtId="3" fontId="14" fillId="0" borderId="16" xfId="0" applyNumberFormat="1" applyFont="1" applyFill="1" applyBorder="1" applyAlignment="1">
      <alignment vertical="center"/>
    </xf>
    <xf numFmtId="4" fontId="14" fillId="0" borderId="0" xfId="0" applyNumberFormat="1" applyFont="1" applyAlignment="1">
      <alignment horizontal="left" vertical="center" wrapText="1"/>
    </xf>
    <xf numFmtId="4" fontId="20" fillId="0" borderId="0" xfId="0" applyNumberFormat="1" applyFont="1" applyAlignment="1">
      <alignment horizontal="left" vertical="center" wrapText="1"/>
    </xf>
    <xf numFmtId="3" fontId="6" fillId="0" borderId="0" xfId="2" applyFont="1" applyFill="1" applyBorder="1" applyAlignment="1">
      <alignment horizontal="left" vertical="center" wrapText="1"/>
    </xf>
    <xf numFmtId="3" fontId="6" fillId="0" borderId="2" xfId="2" applyFont="1" applyFill="1" applyBorder="1" applyAlignment="1">
      <alignment horizontal="left" vertical="center" wrapText="1"/>
    </xf>
    <xf numFmtId="3" fontId="7" fillId="0" borderId="0" xfId="2" applyFont="1" applyFill="1" applyBorder="1" applyAlignment="1">
      <alignment vertical="center"/>
    </xf>
    <xf numFmtId="3" fontId="7" fillId="0" borderId="0" xfId="2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3" fontId="6" fillId="0" borderId="0" xfId="2" applyFont="1" applyFill="1" applyBorder="1" applyAlignment="1">
      <alignment horizontal="left" vertical="center"/>
    </xf>
    <xf numFmtId="3" fontId="7" fillId="0" borderId="0" xfId="2" applyFont="1" applyFill="1" applyBorder="1" applyAlignment="1">
      <alignment horizontal="left" vertical="center"/>
    </xf>
    <xf numFmtId="3" fontId="3" fillId="0" borderId="29" xfId="2" applyFont="1" applyFill="1" applyBorder="1" applyAlignment="1">
      <alignment horizontal="center" vertical="center" wrapText="1"/>
    </xf>
    <xf numFmtId="3" fontId="14" fillId="0" borderId="29" xfId="2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3" fontId="7" fillId="0" borderId="7" xfId="2" applyFont="1" applyFill="1" applyBorder="1" applyAlignment="1">
      <alignment horizontal="left" vertical="center"/>
    </xf>
    <xf numFmtId="3" fontId="7" fillId="0" borderId="18" xfId="2" applyFont="1" applyFill="1" applyBorder="1" applyAlignment="1">
      <alignment horizontal="center" vertical="center" wrapText="1"/>
    </xf>
    <xf numFmtId="3" fontId="7" fillId="0" borderId="3" xfId="2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6" fillId="0" borderId="139" xfId="2" applyFont="1" applyFill="1" applyBorder="1" applyAlignment="1">
      <alignment horizontal="right" vertical="center" wrapText="1"/>
    </xf>
    <xf numFmtId="3" fontId="6" fillId="0" borderId="68" xfId="2" applyFont="1" applyFill="1" applyBorder="1" applyAlignment="1">
      <alignment horizontal="left" vertical="center" wrapText="1"/>
    </xf>
    <xf numFmtId="3" fontId="7" fillId="0" borderId="140" xfId="2" applyNumberFormat="1" applyFont="1" applyFill="1" applyBorder="1" applyAlignment="1">
      <alignment horizontal="right" vertical="center"/>
    </xf>
    <xf numFmtId="3" fontId="6" fillId="0" borderId="140" xfId="2" applyNumberFormat="1" applyFont="1" applyFill="1" applyBorder="1" applyAlignment="1">
      <alignment horizontal="right" vertical="center"/>
    </xf>
    <xf numFmtId="3" fontId="7" fillId="0" borderId="95" xfId="1" applyNumberFormat="1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center" vertical="center" wrapText="1"/>
    </xf>
    <xf numFmtId="3" fontId="16" fillId="0" borderId="95" xfId="1" applyNumberFormat="1" applyFont="1" applyFill="1" applyBorder="1" applyAlignment="1">
      <alignment horizontal="right" vertical="center"/>
    </xf>
    <xf numFmtId="3" fontId="3" fillId="0" borderId="16" xfId="0" applyNumberFormat="1" applyFont="1" applyFill="1" applyBorder="1" applyAlignment="1">
      <alignment horizontal="center" vertical="center" wrapText="1"/>
    </xf>
    <xf numFmtId="3" fontId="23" fillId="0" borderId="16" xfId="0" applyNumberFormat="1" applyFont="1" applyFill="1" applyBorder="1" applyAlignment="1">
      <alignment horizontal="center" vertical="center" wrapText="1"/>
    </xf>
    <xf numFmtId="3" fontId="14" fillId="0" borderId="16" xfId="0" applyNumberFormat="1" applyFont="1" applyFill="1" applyBorder="1" applyAlignment="1">
      <alignment horizontal="center" vertical="center" wrapText="1"/>
    </xf>
    <xf numFmtId="3" fontId="14" fillId="0" borderId="16" xfId="0" applyNumberFormat="1" applyFont="1" applyFill="1" applyBorder="1" applyAlignment="1">
      <alignment horizontal="center" vertical="center" wrapText="1"/>
    </xf>
    <xf numFmtId="3" fontId="7" fillId="0" borderId="0" xfId="2" applyFont="1" applyFill="1" applyBorder="1" applyAlignment="1">
      <alignment vertical="center"/>
    </xf>
    <xf numFmtId="3" fontId="6" fillId="0" borderId="0" xfId="2" applyFont="1" applyFill="1" applyBorder="1" applyAlignment="1">
      <alignment horizontal="left" vertical="center" wrapText="1"/>
    </xf>
    <xf numFmtId="3" fontId="7" fillId="0" borderId="0" xfId="2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3" fontId="6" fillId="0" borderId="0" xfId="2" applyFont="1" applyFill="1" applyBorder="1" applyAlignment="1">
      <alignment horizontal="left" vertical="center"/>
    </xf>
    <xf numFmtId="3" fontId="7" fillId="0" borderId="0" xfId="2" applyFont="1" applyFill="1" applyBorder="1" applyAlignment="1">
      <alignment horizontal="left" vertical="center"/>
    </xf>
    <xf numFmtId="3" fontId="7" fillId="0" borderId="0" xfId="2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3" fontId="7" fillId="0" borderId="95" xfId="1" applyNumberFormat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center" vertical="center" wrapText="1"/>
    </xf>
    <xf numFmtId="3" fontId="16" fillId="0" borderId="147" xfId="2" applyFont="1" applyFill="1" applyBorder="1" applyAlignment="1">
      <alignment horizontal="center" vertical="center" wrapText="1"/>
    </xf>
    <xf numFmtId="3" fontId="15" fillId="0" borderId="147" xfId="2" applyFont="1" applyFill="1" applyBorder="1" applyAlignment="1">
      <alignment horizontal="center" vertical="center" wrapText="1"/>
    </xf>
    <xf numFmtId="3" fontId="7" fillId="0" borderId="134" xfId="2" applyFont="1" applyFill="1" applyBorder="1" applyAlignment="1">
      <alignment horizontal="center" vertical="center" wrapText="1"/>
    </xf>
    <xf numFmtId="3" fontId="16" fillId="0" borderId="134" xfId="2" applyFont="1" applyFill="1" applyBorder="1" applyAlignment="1">
      <alignment horizontal="center" vertical="center" wrapText="1"/>
    </xf>
    <xf numFmtId="3" fontId="15" fillId="0" borderId="134" xfId="2" applyFont="1" applyFill="1" applyBorder="1" applyAlignment="1">
      <alignment horizontal="center" vertical="center" wrapText="1"/>
    </xf>
    <xf numFmtId="3" fontId="7" fillId="0" borderId="147" xfId="2" applyFont="1" applyFill="1" applyBorder="1" applyAlignment="1">
      <alignment horizontal="center" vertical="center" wrapText="1"/>
    </xf>
    <xf numFmtId="3" fontId="7" fillId="0" borderId="95" xfId="2" applyFont="1" applyFill="1" applyBorder="1" applyAlignment="1">
      <alignment vertical="center" wrapText="1"/>
    </xf>
    <xf numFmtId="3" fontId="7" fillId="0" borderId="147" xfId="2" applyFont="1" applyFill="1" applyBorder="1" applyAlignment="1">
      <alignment vertical="center" wrapText="1"/>
    </xf>
    <xf numFmtId="3" fontId="6" fillId="0" borderId="95" xfId="2" applyNumberFormat="1" applyFont="1" applyFill="1" applyBorder="1" applyAlignment="1">
      <alignment vertical="center"/>
    </xf>
    <xf numFmtId="4" fontId="3" fillId="0" borderId="0" xfId="0" applyNumberFormat="1" applyFont="1" applyFill="1" applyAlignment="1">
      <alignment horizontal="right" vertical="center"/>
    </xf>
    <xf numFmtId="4" fontId="3" fillId="0" borderId="11" xfId="0" applyNumberFormat="1" applyFont="1" applyFill="1" applyBorder="1" applyAlignment="1">
      <alignment horizontal="center" vertical="center" wrapText="1"/>
    </xf>
    <xf numFmtId="4" fontId="5" fillId="0" borderId="95" xfId="2" applyNumberFormat="1" applyFont="1" applyFill="1" applyBorder="1" applyAlignment="1">
      <alignment horizontal="right" vertical="center"/>
    </xf>
    <xf numFmtId="4" fontId="5" fillId="0" borderId="1" xfId="2" applyNumberFormat="1" applyFont="1" applyFill="1" applyBorder="1" applyAlignment="1">
      <alignment horizontal="right" vertical="center"/>
    </xf>
    <xf numFmtId="4" fontId="6" fillId="0" borderId="1" xfId="2" applyNumberFormat="1" applyFont="1" applyFill="1" applyBorder="1" applyAlignment="1">
      <alignment horizontal="right" vertical="center"/>
    </xf>
    <xf numFmtId="4" fontId="7" fillId="0" borderId="42" xfId="2" applyNumberFormat="1" applyFont="1" applyFill="1" applyBorder="1" applyAlignment="1">
      <alignment horizontal="right" vertical="center"/>
    </xf>
    <xf numFmtId="4" fontId="7" fillId="0" borderId="1" xfId="2" applyNumberFormat="1" applyFont="1" applyFill="1" applyBorder="1" applyAlignment="1">
      <alignment horizontal="right" vertical="center"/>
    </xf>
    <xf numFmtId="4" fontId="6" fillId="0" borderId="95" xfId="2" applyNumberFormat="1" applyFont="1" applyFill="1" applyBorder="1" applyAlignment="1">
      <alignment horizontal="right" vertical="center"/>
    </xf>
    <xf numFmtId="4" fontId="7" fillId="0" borderId="1" xfId="2" applyNumberFormat="1" applyFont="1" applyFill="1" applyBorder="1" applyAlignment="1">
      <alignment vertical="center"/>
    </xf>
    <xf numFmtId="4" fontId="7" fillId="0" borderId="39" xfId="2" applyNumberFormat="1" applyFont="1" applyFill="1" applyBorder="1" applyAlignment="1">
      <alignment horizontal="right" vertical="center"/>
    </xf>
    <xf numFmtId="4" fontId="19" fillId="0" borderId="4" xfId="2" applyNumberFormat="1" applyFont="1" applyFill="1" applyBorder="1" applyAlignment="1">
      <alignment horizontal="right" vertical="center"/>
    </xf>
    <xf numFmtId="4" fontId="6" fillId="0" borderId="1" xfId="2" applyNumberFormat="1" applyFont="1" applyFill="1" applyBorder="1" applyAlignment="1" applyProtection="1">
      <alignment horizontal="right" vertical="center"/>
      <protection locked="0"/>
    </xf>
    <xf numFmtId="4" fontId="7" fillId="0" borderId="37" xfId="2" applyNumberFormat="1" applyFont="1" applyFill="1" applyBorder="1" applyAlignment="1">
      <alignment horizontal="right" vertical="center"/>
    </xf>
    <xf numFmtId="4" fontId="16" fillId="0" borderId="1" xfId="2" applyNumberFormat="1" applyFont="1" applyFill="1" applyBorder="1" applyAlignment="1">
      <alignment horizontal="right" vertical="center"/>
    </xf>
    <xf numFmtId="4" fontId="16" fillId="0" borderId="38" xfId="2" applyNumberFormat="1" applyFont="1" applyFill="1" applyBorder="1" applyAlignment="1">
      <alignment horizontal="right" vertical="center"/>
    </xf>
    <xf numFmtId="4" fontId="6" fillId="0" borderId="2" xfId="2" applyNumberFormat="1" applyFont="1" applyFill="1" applyBorder="1" applyAlignment="1">
      <alignment horizontal="right" vertical="center"/>
    </xf>
    <xf numFmtId="4" fontId="7" fillId="0" borderId="2" xfId="2" applyNumberFormat="1" applyFont="1" applyFill="1" applyBorder="1" applyAlignment="1">
      <alignment horizontal="right" vertical="center"/>
    </xf>
    <xf numFmtId="4" fontId="7" fillId="0" borderId="46" xfId="2" applyNumberFormat="1" applyFont="1" applyFill="1" applyBorder="1" applyAlignment="1">
      <alignment horizontal="right" vertical="center"/>
    </xf>
    <xf numFmtId="4" fontId="7" fillId="0" borderId="1" xfId="1" applyNumberFormat="1" applyFont="1" applyFill="1" applyBorder="1" applyAlignment="1">
      <alignment vertical="center"/>
    </xf>
    <xf numFmtId="4" fontId="7" fillId="0" borderId="95" xfId="1" applyNumberFormat="1" applyFont="1" applyFill="1" applyBorder="1" applyAlignment="1">
      <alignment vertical="center"/>
    </xf>
    <xf numFmtId="4" fontId="15" fillId="0" borderId="95" xfId="1" applyNumberFormat="1" applyFont="1" applyFill="1" applyBorder="1" applyAlignment="1">
      <alignment vertical="center"/>
    </xf>
    <xf numFmtId="4" fontId="7" fillId="0" borderId="95" xfId="2" applyNumberFormat="1" applyFont="1" applyFill="1" applyBorder="1" applyAlignment="1">
      <alignment horizontal="right" vertical="center"/>
    </xf>
    <xf numFmtId="4" fontId="8" fillId="0" borderId="4" xfId="2" applyNumberFormat="1" applyFont="1" applyFill="1" applyBorder="1" applyAlignment="1">
      <alignment horizontal="right" vertical="center"/>
    </xf>
    <xf numFmtId="4" fontId="15" fillId="0" borderId="1" xfId="2" applyNumberFormat="1" applyFont="1" applyFill="1" applyBorder="1" applyAlignment="1">
      <alignment horizontal="right" vertical="center"/>
    </xf>
    <xf numFmtId="4" fontId="7" fillId="0" borderId="48" xfId="2" applyNumberFormat="1" applyFont="1" applyFill="1" applyBorder="1" applyAlignment="1">
      <alignment horizontal="right" vertical="center"/>
    </xf>
    <xf numFmtId="4" fontId="7" fillId="0" borderId="38" xfId="2" applyNumberFormat="1" applyFont="1" applyFill="1" applyBorder="1" applyAlignment="1">
      <alignment horizontal="right" vertical="center"/>
    </xf>
    <xf numFmtId="4" fontId="7" fillId="0" borderId="30" xfId="2" applyNumberFormat="1" applyFont="1" applyFill="1" applyBorder="1" applyAlignment="1">
      <alignment horizontal="right" vertical="center"/>
    </xf>
    <xf numFmtId="4" fontId="16" fillId="0" borderId="4" xfId="0" applyNumberFormat="1" applyFont="1" applyFill="1" applyBorder="1" applyAlignment="1">
      <alignment vertical="center"/>
    </xf>
    <xf numFmtId="4" fontId="7" fillId="0" borderId="11" xfId="2" applyNumberFormat="1" applyFont="1" applyFill="1" applyBorder="1" applyAlignment="1">
      <alignment horizontal="right" vertical="center"/>
    </xf>
    <xf numFmtId="4" fontId="7" fillId="0" borderId="4" xfId="2" applyNumberFormat="1" applyFont="1" applyFill="1" applyBorder="1" applyAlignment="1">
      <alignment horizontal="right" vertical="center"/>
    </xf>
    <xf numFmtId="4" fontId="7" fillId="0" borderId="51" xfId="2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vertical="center"/>
    </xf>
    <xf numFmtId="3" fontId="7" fillId="0" borderId="95" xfId="1" applyNumberFormat="1" applyFont="1" applyFill="1" applyBorder="1" applyAlignment="1">
      <alignment horizontal="right" vertical="center"/>
    </xf>
    <xf numFmtId="4" fontId="0" fillId="0" borderId="0" xfId="0" applyNumberFormat="1" applyFont="1" applyFill="1"/>
    <xf numFmtId="4" fontId="6" fillId="0" borderId="11" xfId="0" applyNumberFormat="1" applyFont="1" applyFill="1" applyBorder="1" applyAlignment="1">
      <alignment horizontal="center" vertical="center" wrapText="1"/>
    </xf>
    <xf numFmtId="4" fontId="3" fillId="0" borderId="95" xfId="0" applyNumberFormat="1" applyFont="1" applyFill="1" applyBorder="1" applyAlignment="1">
      <alignment vertical="center"/>
    </xf>
    <xf numFmtId="4" fontId="6" fillId="0" borderId="95" xfId="0" applyNumberFormat="1" applyFont="1" applyFill="1" applyBorder="1" applyAlignment="1">
      <alignment vertical="center"/>
    </xf>
    <xf numFmtId="4" fontId="7" fillId="0" borderId="42" xfId="0" applyNumberFormat="1" applyFont="1" applyFill="1" applyBorder="1" applyAlignment="1">
      <alignment vertical="center"/>
    </xf>
    <xf numFmtId="4" fontId="7" fillId="0" borderId="95" xfId="0" applyNumberFormat="1" applyFont="1" applyFill="1" applyBorder="1" applyAlignment="1">
      <alignment vertical="center"/>
    </xf>
    <xf numFmtId="4" fontId="7" fillId="0" borderId="125" xfId="0" applyNumberFormat="1" applyFont="1" applyFill="1" applyBorder="1" applyAlignment="1">
      <alignment vertical="center"/>
    </xf>
    <xf numFmtId="4" fontId="3" fillId="0" borderId="95" xfId="1" applyNumberFormat="1" applyFont="1" applyFill="1" applyBorder="1" applyAlignment="1">
      <alignment vertical="center"/>
    </xf>
    <xf numFmtId="4" fontId="6" fillId="0" borderId="95" xfId="1" applyNumberFormat="1" applyFont="1" applyFill="1" applyBorder="1" applyAlignment="1">
      <alignment vertical="center"/>
    </xf>
    <xf numFmtId="4" fontId="7" fillId="0" borderId="99" xfId="1" applyNumberFormat="1" applyFont="1" applyFill="1" applyBorder="1" applyAlignment="1">
      <alignment vertical="center"/>
    </xf>
    <xf numFmtId="4" fontId="7" fillId="0" borderId="42" xfId="1" applyNumberFormat="1" applyFont="1" applyFill="1" applyBorder="1" applyAlignment="1">
      <alignment vertical="center"/>
    </xf>
    <xf numFmtId="4" fontId="8" fillId="0" borderId="56" xfId="1" applyNumberFormat="1" applyFont="1" applyFill="1" applyBorder="1" applyAlignment="1">
      <alignment vertical="center"/>
    </xf>
    <xf numFmtId="4" fontId="8" fillId="0" borderId="95" xfId="1" applyNumberFormat="1" applyFont="1" applyFill="1" applyBorder="1" applyAlignment="1">
      <alignment vertical="center"/>
    </xf>
    <xf numFmtId="4" fontId="7" fillId="0" borderId="101" xfId="1" applyNumberFormat="1" applyFont="1" applyFill="1" applyBorder="1" applyAlignment="1">
      <alignment vertical="center"/>
    </xf>
    <xf numFmtId="4" fontId="7" fillId="0" borderId="61" xfId="1" applyNumberFormat="1" applyFont="1" applyFill="1" applyBorder="1" applyAlignment="1">
      <alignment vertical="center"/>
    </xf>
    <xf numFmtId="4" fontId="16" fillId="0" borderId="101" xfId="0" applyNumberFormat="1" applyFont="1" applyFill="1" applyBorder="1" applyAlignment="1">
      <alignment vertical="center"/>
    </xf>
    <xf numFmtId="4" fontId="16" fillId="0" borderId="95" xfId="0" applyNumberFormat="1" applyFont="1" applyFill="1" applyBorder="1" applyAlignment="1">
      <alignment vertical="center"/>
    </xf>
    <xf numFmtId="4" fontId="7" fillId="0" borderId="39" xfId="1" applyNumberFormat="1" applyFont="1" applyFill="1" applyBorder="1" applyAlignment="1">
      <alignment horizontal="right" vertical="center"/>
    </xf>
    <xf numFmtId="4" fontId="6" fillId="0" borderId="95" xfId="1" applyNumberFormat="1" applyFont="1" applyFill="1" applyBorder="1" applyAlignment="1">
      <alignment horizontal="right" vertical="center"/>
    </xf>
    <xf numFmtId="4" fontId="7" fillId="0" borderId="95" xfId="1" applyNumberFormat="1" applyFont="1" applyFill="1" applyBorder="1" applyAlignment="1">
      <alignment horizontal="right" vertical="center"/>
    </xf>
    <xf numFmtId="4" fontId="11" fillId="0" borderId="95" xfId="1" applyNumberFormat="1" applyFont="1" applyFill="1" applyBorder="1" applyAlignment="1">
      <alignment vertical="center"/>
    </xf>
    <xf numFmtId="4" fontId="6" fillId="0" borderId="95" xfId="1" applyNumberFormat="1" applyFont="1" applyFill="1" applyBorder="1" applyAlignment="1">
      <alignment horizontal="center" vertical="center"/>
    </xf>
    <xf numFmtId="4" fontId="7" fillId="0" borderId="38" xfId="1" applyNumberFormat="1" applyFont="1" applyFill="1" applyBorder="1" applyAlignment="1">
      <alignment vertical="center"/>
    </xf>
    <xf numFmtId="4" fontId="7" fillId="0" borderId="48" xfId="1" applyNumberFormat="1" applyFont="1" applyFill="1" applyBorder="1" applyAlignment="1">
      <alignment vertical="center"/>
    </xf>
    <xf numFmtId="4" fontId="7" fillId="0" borderId="100" xfId="1" applyNumberFormat="1" applyFont="1" applyFill="1" applyBorder="1" applyAlignment="1">
      <alignment vertical="center"/>
    </xf>
    <xf numFmtId="4" fontId="7" fillId="0" borderId="13" xfId="1" applyNumberFormat="1" applyFont="1" applyFill="1" applyBorder="1" applyAlignment="1">
      <alignment horizontal="right" vertical="center"/>
    </xf>
    <xf numFmtId="4" fontId="7" fillId="0" borderId="13" xfId="1" applyNumberFormat="1" applyFont="1" applyFill="1" applyBorder="1" applyAlignment="1">
      <alignment vertical="center"/>
    </xf>
    <xf numFmtId="4" fontId="7" fillId="0" borderId="99" xfId="1" applyNumberFormat="1" applyFont="1" applyFill="1" applyBorder="1" applyAlignment="1">
      <alignment horizontal="right" vertical="center"/>
    </xf>
    <xf numFmtId="4" fontId="16" fillId="0" borderId="99" xfId="1" applyNumberFormat="1" applyFont="1" applyFill="1" applyBorder="1" applyAlignment="1">
      <alignment horizontal="right" vertical="center"/>
    </xf>
    <xf numFmtId="4" fontId="6" fillId="0" borderId="100" xfId="1" applyNumberFormat="1" applyFont="1" applyFill="1" applyBorder="1" applyAlignment="1">
      <alignment vertical="center"/>
    </xf>
    <xf numFmtId="4" fontId="7" fillId="0" borderId="15" xfId="1" applyNumberFormat="1" applyFont="1" applyFill="1" applyBorder="1" applyAlignment="1">
      <alignment horizontal="right" vertical="center"/>
    </xf>
    <xf numFmtId="4" fontId="7" fillId="0" borderId="71" xfId="1" applyNumberFormat="1" applyFont="1" applyFill="1" applyBorder="1" applyAlignment="1">
      <alignment vertical="center"/>
    </xf>
    <xf numFmtId="4" fontId="7" fillId="0" borderId="125" xfId="1" applyNumberFormat="1" applyFont="1" applyFill="1" applyBorder="1" applyAlignment="1">
      <alignment vertical="center"/>
    </xf>
    <xf numFmtId="4" fontId="13" fillId="0" borderId="95" xfId="1" applyNumberFormat="1" applyFont="1" applyFill="1" applyBorder="1" applyAlignment="1">
      <alignment vertical="center"/>
    </xf>
    <xf numFmtId="4" fontId="7" fillId="0" borderId="127" xfId="1" applyNumberFormat="1" applyFont="1" applyFill="1" applyBorder="1" applyAlignment="1">
      <alignment vertical="center"/>
    </xf>
    <xf numFmtId="4" fontId="7" fillId="0" borderId="15" xfId="2" applyNumberFormat="1" applyFont="1" applyFill="1" applyBorder="1" applyAlignment="1">
      <alignment horizontal="right" vertical="center"/>
    </xf>
    <xf numFmtId="4" fontId="7" fillId="0" borderId="131" xfId="1" applyNumberFormat="1" applyFont="1" applyFill="1" applyBorder="1" applyAlignment="1">
      <alignment vertical="center"/>
    </xf>
    <xf numFmtId="4" fontId="7" fillId="0" borderId="102" xfId="2" applyNumberFormat="1" applyFont="1" applyFill="1" applyBorder="1" applyAlignment="1">
      <alignment horizontal="right" vertical="center"/>
    </xf>
    <xf numFmtId="4" fontId="7" fillId="0" borderId="13" xfId="2" applyNumberFormat="1" applyFont="1" applyFill="1" applyBorder="1" applyAlignment="1">
      <alignment horizontal="right" vertical="center"/>
    </xf>
    <xf numFmtId="4" fontId="7" fillId="0" borderId="125" xfId="1" applyNumberFormat="1" applyFont="1" applyFill="1" applyBorder="1" applyAlignment="1">
      <alignment horizontal="right" vertical="center"/>
    </xf>
    <xf numFmtId="3" fontId="16" fillId="0" borderId="123" xfId="0" applyNumberFormat="1" applyFont="1" applyFill="1" applyBorder="1" applyAlignment="1">
      <alignment vertical="center"/>
    </xf>
    <xf numFmtId="3" fontId="15" fillId="0" borderId="95" xfId="1" applyNumberFormat="1" applyFont="1" applyFill="1" applyBorder="1" applyAlignment="1">
      <alignment horizontal="right" vertical="center"/>
    </xf>
    <xf numFmtId="4" fontId="15" fillId="0" borderId="95" xfId="0" applyNumberFormat="1" applyFont="1" applyFill="1" applyBorder="1" applyAlignment="1">
      <alignment vertical="center"/>
    </xf>
    <xf numFmtId="0" fontId="16" fillId="0" borderId="33" xfId="1" applyFont="1" applyFill="1" applyBorder="1" applyAlignment="1">
      <alignment horizontal="center" vertical="center"/>
    </xf>
    <xf numFmtId="0" fontId="7" fillId="0" borderId="79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Continuous" vertical="center"/>
    </xf>
    <xf numFmtId="0" fontId="6" fillId="0" borderId="45" xfId="1" applyFont="1" applyFill="1" applyBorder="1" applyAlignment="1">
      <alignment horizontal="centerContinuous" vertical="center"/>
    </xf>
    <xf numFmtId="3" fontId="16" fillId="0" borderId="33" xfId="1" applyNumberFormat="1" applyFont="1" applyFill="1" applyBorder="1" applyAlignment="1">
      <alignment vertical="center"/>
    </xf>
    <xf numFmtId="3" fontId="16" fillId="0" borderId="111" xfId="1" applyNumberFormat="1" applyFont="1" applyFill="1" applyBorder="1" applyAlignment="1">
      <alignment vertical="center"/>
    </xf>
    <xf numFmtId="0" fontId="34" fillId="0" borderId="0" xfId="0" applyFont="1" applyFill="1"/>
    <xf numFmtId="3" fontId="16" fillId="0" borderId="79" xfId="1" applyNumberFormat="1" applyFont="1" applyFill="1" applyBorder="1" applyAlignment="1">
      <alignment vertical="center"/>
    </xf>
    <xf numFmtId="0" fontId="7" fillId="0" borderId="148" xfId="1" applyFont="1" applyFill="1" applyBorder="1" applyAlignment="1">
      <alignment horizontal="center" vertical="center"/>
    </xf>
    <xf numFmtId="3" fontId="7" fillId="0" borderId="149" xfId="1" applyNumberFormat="1" applyFont="1" applyFill="1" applyBorder="1" applyAlignment="1">
      <alignment vertical="center"/>
    </xf>
    <xf numFmtId="3" fontId="7" fillId="0" borderId="150" xfId="1" applyNumberFormat="1" applyFont="1" applyFill="1" applyBorder="1" applyAlignment="1">
      <alignment vertical="center"/>
    </xf>
    <xf numFmtId="4" fontId="16" fillId="0" borderId="149" xfId="0" applyNumberFormat="1" applyFont="1" applyFill="1" applyBorder="1" applyAlignment="1">
      <alignment vertical="center"/>
    </xf>
    <xf numFmtId="4" fontId="14" fillId="0" borderId="0" xfId="0" applyNumberFormat="1" applyFont="1" applyFill="1" applyAlignment="1">
      <alignment horizontal="left" vertical="center" wrapText="1"/>
    </xf>
    <xf numFmtId="4" fontId="14" fillId="0" borderId="27" xfId="0" applyNumberFormat="1" applyFont="1" applyBorder="1" applyAlignment="1">
      <alignment horizontal="right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27" fillId="0" borderId="5" xfId="0" applyNumberFormat="1" applyFont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4" fontId="14" fillId="0" borderId="24" xfId="0" applyNumberFormat="1" applyFont="1" applyBorder="1" applyAlignment="1">
      <alignment horizontal="right" vertical="center" wrapText="1"/>
    </xf>
    <xf numFmtId="4" fontId="14" fillId="0" borderId="6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4" fontId="27" fillId="0" borderId="6" xfId="0" applyNumberFormat="1" applyFont="1" applyBorder="1" applyAlignment="1">
      <alignment horizontal="right" vertical="center" wrapText="1"/>
    </xf>
    <xf numFmtId="4" fontId="13" fillId="0" borderId="52" xfId="0" applyNumberFormat="1" applyFont="1" applyBorder="1" applyAlignment="1">
      <alignment horizontal="right" vertical="center" wrapText="1"/>
    </xf>
    <xf numFmtId="4" fontId="13" fillId="0" borderId="152" xfId="0" applyNumberFormat="1" applyFont="1" applyBorder="1" applyAlignment="1">
      <alignment horizontal="right" vertical="center" wrapText="1"/>
    </xf>
    <xf numFmtId="4" fontId="13" fillId="0" borderId="151" xfId="0" applyNumberFormat="1" applyFont="1" applyBorder="1" applyAlignment="1">
      <alignment horizontal="right" vertical="center" wrapText="1"/>
    </xf>
    <xf numFmtId="4" fontId="14" fillId="0" borderId="142" xfId="0" applyNumberFormat="1" applyFont="1" applyBorder="1" applyAlignment="1">
      <alignment horizontal="right" vertical="center" wrapText="1"/>
    </xf>
    <xf numFmtId="4" fontId="14" fillId="0" borderId="141" xfId="0" applyNumberFormat="1" applyFont="1" applyBorder="1" applyAlignment="1">
      <alignment horizontal="right" vertical="center" wrapText="1"/>
    </xf>
    <xf numFmtId="4" fontId="13" fillId="0" borderId="141" xfId="0" applyNumberFormat="1" applyFont="1" applyBorder="1" applyAlignment="1">
      <alignment horizontal="right" vertical="center"/>
    </xf>
    <xf numFmtId="4" fontId="27" fillId="0" borderId="141" xfId="0" applyNumberFormat="1" applyFont="1" applyBorder="1" applyAlignment="1">
      <alignment horizontal="right" vertical="center"/>
    </xf>
    <xf numFmtId="4" fontId="14" fillId="0" borderId="141" xfId="0" applyNumberFormat="1" applyFont="1" applyBorder="1" applyAlignment="1">
      <alignment horizontal="right" vertical="center"/>
    </xf>
    <xf numFmtId="4" fontId="13" fillId="0" borderId="143" xfId="0" applyNumberFormat="1" applyFont="1" applyBorder="1" applyAlignment="1">
      <alignment horizontal="right" vertical="center"/>
    </xf>
    <xf numFmtId="4" fontId="13" fillId="0" borderId="145" xfId="0" applyNumberFormat="1" applyFont="1" applyBorder="1" applyAlignment="1">
      <alignment horizontal="right" vertical="center"/>
    </xf>
    <xf numFmtId="4" fontId="14" fillId="0" borderId="144" xfId="0" applyNumberFormat="1" applyFont="1" applyBorder="1" applyAlignment="1">
      <alignment horizontal="right" vertical="center" wrapText="1"/>
    </xf>
    <xf numFmtId="4" fontId="14" fillId="0" borderId="145" xfId="0" applyNumberFormat="1" applyFont="1" applyBorder="1" applyAlignment="1">
      <alignment horizontal="right" vertical="center" wrapText="1"/>
    </xf>
    <xf numFmtId="4" fontId="27" fillId="0" borderId="145" xfId="0" applyNumberFormat="1" applyFont="1" applyBorder="1" applyAlignment="1">
      <alignment horizontal="right" vertical="center"/>
    </xf>
    <xf numFmtId="4" fontId="14" fillId="0" borderId="145" xfId="0" applyNumberFormat="1" applyFont="1" applyBorder="1" applyAlignment="1">
      <alignment horizontal="right" vertical="center"/>
    </xf>
    <xf numFmtId="4" fontId="13" fillId="0" borderId="146" xfId="0" applyNumberFormat="1" applyFont="1" applyBorder="1" applyAlignment="1">
      <alignment horizontal="right" vertical="center"/>
    </xf>
    <xf numFmtId="4" fontId="13" fillId="0" borderId="103" xfId="0" applyNumberFormat="1" applyFont="1" applyBorder="1" applyAlignment="1">
      <alignment horizontal="right" vertical="center" wrapText="1"/>
    </xf>
    <xf numFmtId="4" fontId="13" fillId="0" borderId="107" xfId="0" applyNumberFormat="1" applyFont="1" applyBorder="1" applyAlignment="1">
      <alignment horizontal="right" vertical="center" wrapText="1"/>
    </xf>
    <xf numFmtId="4" fontId="13" fillId="0" borderId="141" xfId="0" applyNumberFormat="1" applyFont="1" applyBorder="1" applyAlignment="1">
      <alignment horizontal="right" vertical="center" wrapText="1"/>
    </xf>
    <xf numFmtId="4" fontId="27" fillId="0" borderId="141" xfId="0" applyNumberFormat="1" applyFont="1" applyBorder="1" applyAlignment="1">
      <alignment horizontal="right" vertical="center" wrapText="1"/>
    </xf>
    <xf numFmtId="4" fontId="13" fillId="0" borderId="154" xfId="0" applyNumberFormat="1" applyFont="1" applyBorder="1" applyAlignment="1">
      <alignment horizontal="right" vertical="center" wrapText="1"/>
    </xf>
    <xf numFmtId="4" fontId="13" fillId="0" borderId="153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/>
    </xf>
    <xf numFmtId="4" fontId="27" fillId="0" borderId="6" xfId="0" applyNumberFormat="1" applyFont="1" applyBorder="1" applyAlignment="1">
      <alignment horizontal="right" vertical="center"/>
    </xf>
    <xf numFmtId="4" fontId="14" fillId="0" borderId="6" xfId="0" applyNumberFormat="1" applyFont="1" applyBorder="1" applyAlignment="1">
      <alignment horizontal="right" vertical="center"/>
    </xf>
    <xf numFmtId="4" fontId="13" fillId="0" borderId="130" xfId="0" applyNumberFormat="1" applyFont="1" applyBorder="1" applyAlignment="1">
      <alignment horizontal="right" vertical="center"/>
    </xf>
    <xf numFmtId="4" fontId="13" fillId="0" borderId="155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3" fontId="16" fillId="0" borderId="4" xfId="2" applyNumberFormat="1" applyFont="1" applyFill="1" applyBorder="1" applyAlignment="1">
      <alignment horizontal="right" vertical="center"/>
    </xf>
    <xf numFmtId="3" fontId="7" fillId="0" borderId="156" xfId="1" applyNumberFormat="1" applyFont="1" applyFill="1" applyBorder="1" applyAlignment="1">
      <alignment vertical="center"/>
    </xf>
    <xf numFmtId="4" fontId="7" fillId="0" borderId="156" xfId="1" applyNumberFormat="1" applyFont="1" applyFill="1" applyBorder="1" applyAlignment="1">
      <alignment horizontal="right" vertical="center"/>
    </xf>
    <xf numFmtId="4" fontId="7" fillId="0" borderId="37" xfId="1" applyNumberFormat="1" applyFont="1" applyFill="1" applyBorder="1" applyAlignment="1">
      <alignment vertical="center"/>
    </xf>
    <xf numFmtId="3" fontId="6" fillId="0" borderId="0" xfId="2" applyFont="1" applyFill="1" applyBorder="1" applyAlignment="1">
      <alignment horizontal="left" vertical="center" wrapText="1"/>
    </xf>
    <xf numFmtId="3" fontId="6" fillId="0" borderId="2" xfId="2" applyFont="1" applyFill="1" applyBorder="1" applyAlignment="1">
      <alignment horizontal="left" vertical="center" wrapText="1"/>
    </xf>
    <xf numFmtId="0" fontId="7" fillId="0" borderId="43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0" fontId="7" fillId="0" borderId="72" xfId="1" applyFont="1" applyFill="1" applyBorder="1" applyAlignment="1">
      <alignment horizontal="center" vertical="center"/>
    </xf>
    <xf numFmtId="3" fontId="7" fillId="0" borderId="7" xfId="2" applyFont="1" applyFill="1" applyBorder="1" applyAlignment="1">
      <alignment horizontal="left" vertical="center" wrapText="1"/>
    </xf>
    <xf numFmtId="3" fontId="7" fillId="0" borderId="0" xfId="2" applyFont="1" applyFill="1" applyBorder="1" applyAlignment="1">
      <alignment horizontal="left" vertical="center" wrapText="1"/>
    </xf>
    <xf numFmtId="3" fontId="7" fillId="0" borderId="2" xfId="2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/>
    </xf>
    <xf numFmtId="0" fontId="22" fillId="0" borderId="2" xfId="0" applyFont="1" applyFill="1" applyBorder="1" applyAlignment="1">
      <alignment vertical="center"/>
    </xf>
    <xf numFmtId="3" fontId="7" fillId="0" borderId="0" xfId="2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7" fillId="0" borderId="0" xfId="2" applyFont="1" applyFill="1" applyBorder="1" applyAlignment="1">
      <alignment vertical="center"/>
    </xf>
    <xf numFmtId="3" fontId="3" fillId="0" borderId="84" xfId="0" applyNumberFormat="1" applyFont="1" applyFill="1" applyBorder="1" applyAlignment="1">
      <alignment horizontal="center" vertical="center" wrapText="1"/>
    </xf>
    <xf numFmtId="3" fontId="3" fillId="0" borderId="5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3" fontId="7" fillId="0" borderId="3" xfId="2" applyFont="1" applyFill="1" applyBorder="1" applyAlignment="1">
      <alignment horizontal="center" vertical="center"/>
    </xf>
    <xf numFmtId="3" fontId="7" fillId="0" borderId="49" xfId="2" applyFont="1" applyFill="1" applyBorder="1" applyAlignment="1">
      <alignment horizontal="center" vertical="center"/>
    </xf>
    <xf numFmtId="0" fontId="32" fillId="0" borderId="0" xfId="0" applyFont="1" applyFill="1" applyAlignment="1">
      <alignment horizontal="left" vertical="center" wrapText="1"/>
    </xf>
    <xf numFmtId="0" fontId="32" fillId="0" borderId="2" xfId="0" applyFont="1" applyFill="1" applyBorder="1" applyAlignment="1">
      <alignment horizontal="left" vertical="center" wrapText="1"/>
    </xf>
    <xf numFmtId="3" fontId="29" fillId="0" borderId="4" xfId="0" applyNumberFormat="1" applyFont="1" applyFill="1" applyBorder="1" applyAlignment="1">
      <alignment horizontal="center" vertical="center"/>
    </xf>
    <xf numFmtId="3" fontId="29" fillId="0" borderId="0" xfId="2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3" fillId="0" borderId="0" xfId="0" applyFont="1" applyFill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3" fontId="8" fillId="0" borderId="10" xfId="2" applyFont="1" applyFill="1" applyBorder="1" applyAlignment="1">
      <alignment horizontal="center" vertical="center" wrapText="1"/>
    </xf>
    <xf numFmtId="3" fontId="7" fillId="0" borderId="18" xfId="2" applyFont="1" applyFill="1" applyBorder="1" applyAlignment="1">
      <alignment horizontal="center" vertical="center" wrapText="1"/>
    </xf>
    <xf numFmtId="3" fontId="7" fillId="0" borderId="3" xfId="2" applyFont="1" applyFill="1" applyBorder="1" applyAlignment="1">
      <alignment horizontal="center" vertical="center" wrapText="1"/>
    </xf>
    <xf numFmtId="3" fontId="7" fillId="0" borderId="49" xfId="2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left" vertical="center"/>
    </xf>
    <xf numFmtId="0" fontId="15" fillId="0" borderId="147" xfId="1" applyFont="1" applyFill="1" applyBorder="1" applyAlignment="1">
      <alignment horizontal="left" vertical="center"/>
    </xf>
    <xf numFmtId="3" fontId="5" fillId="0" borderId="84" xfId="0" applyNumberFormat="1" applyFont="1" applyFill="1" applyBorder="1" applyAlignment="1">
      <alignment horizontal="center" vertical="center" wrapText="1"/>
    </xf>
    <xf numFmtId="3" fontId="5" fillId="0" borderId="52" xfId="0" applyNumberFormat="1" applyFont="1" applyFill="1" applyBorder="1" applyAlignment="1">
      <alignment horizontal="center" vertical="center" wrapText="1"/>
    </xf>
    <xf numFmtId="3" fontId="6" fillId="0" borderId="84" xfId="0" applyNumberFormat="1" applyFont="1" applyFill="1" applyBorder="1" applyAlignment="1">
      <alignment horizontal="center" vertical="center" wrapText="1"/>
    </xf>
    <xf numFmtId="3" fontId="6" fillId="0" borderId="52" xfId="0" applyNumberFormat="1" applyFont="1" applyFill="1" applyBorder="1" applyAlignment="1">
      <alignment horizontal="center" vertical="center" wrapText="1"/>
    </xf>
    <xf numFmtId="3" fontId="28" fillId="0" borderId="4" xfId="2" applyFont="1" applyFill="1" applyBorder="1" applyAlignment="1">
      <alignment horizontal="center" vertical="center" wrapText="1"/>
    </xf>
    <xf numFmtId="3" fontId="28" fillId="0" borderId="47" xfId="2" applyFont="1" applyFill="1" applyBorder="1" applyAlignment="1">
      <alignment horizontal="center" vertical="center" wrapText="1"/>
    </xf>
    <xf numFmtId="3" fontId="6" fillId="0" borderId="0" xfId="2" applyFont="1" applyFill="1" applyBorder="1" applyAlignment="1">
      <alignment horizontal="left" vertical="center"/>
    </xf>
    <xf numFmtId="3" fontId="6" fillId="0" borderId="2" xfId="2" applyFont="1" applyFill="1" applyBorder="1" applyAlignment="1">
      <alignment horizontal="left" vertical="center"/>
    </xf>
    <xf numFmtId="3" fontId="16" fillId="0" borderId="43" xfId="2" applyFont="1" applyFill="1" applyBorder="1" applyAlignment="1">
      <alignment horizontal="center" vertical="center"/>
    </xf>
    <xf numFmtId="3" fontId="16" fillId="0" borderId="14" xfId="2" applyFont="1" applyFill="1" applyBorder="1" applyAlignment="1">
      <alignment horizontal="center" vertical="center"/>
    </xf>
    <xf numFmtId="3" fontId="16" fillId="0" borderId="72" xfId="2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3" fontId="7" fillId="0" borderId="123" xfId="2" applyFont="1" applyFill="1" applyBorder="1" applyAlignment="1">
      <alignment horizontal="left" vertical="center"/>
    </xf>
    <xf numFmtId="3" fontId="7" fillId="0" borderId="0" xfId="2" applyFont="1" applyFill="1" applyBorder="1" applyAlignment="1">
      <alignment horizontal="left" vertical="center"/>
    </xf>
    <xf numFmtId="3" fontId="7" fillId="0" borderId="2" xfId="2" applyFont="1" applyFill="1" applyBorder="1" applyAlignment="1">
      <alignment horizontal="left" vertical="center"/>
    </xf>
    <xf numFmtId="0" fontId="22" fillId="0" borderId="0" xfId="0" applyFont="1" applyFill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3" fontId="7" fillId="0" borderId="10" xfId="2" applyFont="1" applyFill="1" applyBorder="1" applyAlignment="1">
      <alignment horizontal="center" vertical="center"/>
    </xf>
    <xf numFmtId="3" fontId="7" fillId="0" borderId="50" xfId="2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3" fontId="3" fillId="0" borderId="84" xfId="2" applyFont="1" applyFill="1" applyBorder="1" applyAlignment="1">
      <alignment horizontal="center" vertical="center" wrapText="1"/>
    </xf>
    <xf numFmtId="3" fontId="3" fillId="0" borderId="29" xfId="2" applyFont="1" applyFill="1" applyBorder="1" applyAlignment="1">
      <alignment horizontal="center" vertical="center" wrapText="1"/>
    </xf>
    <xf numFmtId="3" fontId="14" fillId="0" borderId="84" xfId="2" applyFont="1" applyFill="1" applyBorder="1" applyAlignment="1">
      <alignment horizontal="center" vertical="center" wrapText="1"/>
    </xf>
    <xf numFmtId="3" fontId="14" fillId="0" borderId="29" xfId="2" applyFont="1" applyFill="1" applyBorder="1" applyAlignment="1">
      <alignment horizontal="center" vertical="center" wrapText="1"/>
    </xf>
    <xf numFmtId="3" fontId="3" fillId="0" borderId="47" xfId="2" applyFont="1" applyFill="1" applyBorder="1" applyAlignment="1">
      <alignment horizontal="center" vertical="center" wrapText="1"/>
    </xf>
    <xf numFmtId="3" fontId="3" fillId="0" borderId="85" xfId="2" applyFont="1" applyFill="1" applyBorder="1" applyAlignment="1">
      <alignment horizontal="center" vertical="center" wrapText="1"/>
    </xf>
    <xf numFmtId="3" fontId="7" fillId="0" borderId="18" xfId="2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3" fontId="6" fillId="0" borderId="139" xfId="2" applyFont="1" applyFill="1" applyBorder="1" applyAlignment="1">
      <alignment horizontal="left" vertical="center" wrapText="1"/>
    </xf>
    <xf numFmtId="4" fontId="3" fillId="0" borderId="84" xfId="0" applyNumberFormat="1" applyFont="1" applyFill="1" applyBorder="1" applyAlignment="1">
      <alignment horizontal="center" vertical="center" wrapText="1"/>
    </xf>
    <xf numFmtId="4" fontId="3" fillId="0" borderId="52" xfId="0" applyNumberFormat="1" applyFont="1" applyFill="1" applyBorder="1" applyAlignment="1">
      <alignment horizontal="center" vertical="center" wrapText="1"/>
    </xf>
    <xf numFmtId="3" fontId="7" fillId="0" borderId="7" xfId="2" applyFont="1" applyFill="1" applyBorder="1" applyAlignment="1">
      <alignment horizontal="left" vertical="center"/>
    </xf>
    <xf numFmtId="3" fontId="16" fillId="0" borderId="95" xfId="1" applyNumberFormat="1" applyFont="1" applyFill="1" applyBorder="1" applyAlignment="1">
      <alignment horizontal="right" vertical="center"/>
    </xf>
    <xf numFmtId="3" fontId="3" fillId="0" borderId="29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3" fillId="0" borderId="4" xfId="2" applyFont="1" applyFill="1" applyBorder="1" applyAlignment="1">
      <alignment horizontal="center" vertical="center" wrapText="1"/>
    </xf>
    <xf numFmtId="3" fontId="14" fillId="0" borderId="4" xfId="2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86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 wrapText="1"/>
    </xf>
    <xf numFmtId="0" fontId="8" fillId="0" borderId="89" xfId="1" applyFont="1" applyFill="1" applyBorder="1" applyAlignment="1">
      <alignment horizontal="center" vertical="center"/>
    </xf>
    <xf numFmtId="0" fontId="8" fillId="0" borderId="90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3" fontId="23" fillId="0" borderId="4" xfId="0" applyNumberFormat="1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8" fillId="0" borderId="67" xfId="1" applyFont="1" applyFill="1" applyBorder="1" applyAlignment="1">
      <alignment horizontal="center" vertical="center"/>
    </xf>
    <xf numFmtId="0" fontId="8" fillId="0" borderId="87" xfId="1" applyFont="1" applyFill="1" applyBorder="1" applyAlignment="1">
      <alignment horizontal="center" vertical="center"/>
    </xf>
    <xf numFmtId="3" fontId="7" fillId="0" borderId="55" xfId="2" applyFont="1" applyFill="1" applyBorder="1" applyAlignment="1">
      <alignment horizontal="center" vertical="center"/>
    </xf>
    <xf numFmtId="3" fontId="7" fillId="0" borderId="8" xfId="2" applyFont="1" applyFill="1" applyBorder="1" applyAlignment="1">
      <alignment horizontal="center" vertical="center"/>
    </xf>
    <xf numFmtId="3" fontId="7" fillId="0" borderId="73" xfId="2" applyFont="1" applyFill="1" applyBorder="1" applyAlignment="1">
      <alignment horizontal="center" vertical="center"/>
    </xf>
    <xf numFmtId="0" fontId="7" fillId="0" borderId="96" xfId="1" applyFont="1" applyFill="1" applyBorder="1" applyAlignment="1">
      <alignment horizontal="left" vertical="center" wrapText="1"/>
    </xf>
    <xf numFmtId="0" fontId="16" fillId="0" borderId="96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left" vertical="center" wrapText="1"/>
    </xf>
    <xf numFmtId="0" fontId="7" fillId="0" borderId="49" xfId="1" applyFont="1" applyFill="1" applyBorder="1" applyAlignment="1">
      <alignment horizontal="center" vertical="center"/>
    </xf>
    <xf numFmtId="0" fontId="7" fillId="0" borderId="136" xfId="1" applyFont="1" applyFill="1" applyBorder="1" applyAlignment="1">
      <alignment horizontal="center" vertical="center"/>
    </xf>
    <xf numFmtId="0" fontId="7" fillId="0" borderId="137" xfId="1" applyFont="1" applyFill="1" applyBorder="1" applyAlignment="1">
      <alignment horizontal="center" vertical="center"/>
    </xf>
    <xf numFmtId="0" fontId="29" fillId="0" borderId="12" xfId="1" applyFont="1" applyFill="1" applyBorder="1" applyAlignment="1">
      <alignment horizontal="center" vertical="center"/>
    </xf>
    <xf numFmtId="0" fontId="29" fillId="0" borderId="88" xfId="1" applyFont="1" applyFill="1" applyBorder="1" applyAlignment="1">
      <alignment horizontal="center" vertical="center"/>
    </xf>
    <xf numFmtId="0" fontId="7" fillId="0" borderId="79" xfId="1" applyFont="1" applyFill="1" applyBorder="1" applyAlignment="1">
      <alignment horizontal="left" vertical="center" wrapText="1"/>
    </xf>
    <xf numFmtId="0" fontId="7" fillId="0" borderId="45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7" fillId="0" borderId="12" xfId="1" applyFont="1" applyFill="1" applyBorder="1" applyAlignment="1">
      <alignment horizontal="center" vertical="center"/>
    </xf>
    <xf numFmtId="0" fontId="7" fillId="0" borderId="88" xfId="1" applyFont="1" applyFill="1" applyBorder="1" applyAlignment="1">
      <alignment horizontal="center" vertical="center"/>
    </xf>
    <xf numFmtId="0" fontId="7" fillId="0" borderId="133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3" fontId="7" fillId="0" borderId="95" xfId="1" applyNumberFormat="1" applyFont="1" applyFill="1" applyBorder="1" applyAlignment="1">
      <alignment horizontal="right" vertical="center"/>
    </xf>
    <xf numFmtId="0" fontId="16" fillId="0" borderId="95" xfId="1" applyFont="1" applyFill="1" applyBorder="1" applyAlignment="1">
      <alignment horizontal="center" vertical="center" wrapText="1"/>
    </xf>
    <xf numFmtId="0" fontId="29" fillId="0" borderId="7" xfId="1" applyFont="1" applyFill="1" applyBorder="1" applyAlignment="1">
      <alignment horizontal="center" vertical="center" wrapText="1"/>
    </xf>
    <xf numFmtId="0" fontId="29" fillId="0" borderId="0" xfId="1" applyFont="1" applyFill="1" applyBorder="1" applyAlignment="1">
      <alignment horizontal="center" vertical="center" wrapText="1"/>
    </xf>
    <xf numFmtId="0" fontId="29" fillId="0" borderId="2" xfId="1" applyFont="1" applyFill="1" applyBorder="1" applyAlignment="1">
      <alignment horizontal="center" vertical="center" wrapText="1"/>
    </xf>
    <xf numFmtId="3" fontId="7" fillId="0" borderId="96" xfId="1" applyNumberFormat="1" applyFont="1" applyFill="1" applyBorder="1" applyAlignment="1">
      <alignment horizontal="right" vertical="center"/>
    </xf>
    <xf numFmtId="3" fontId="7" fillId="0" borderId="1" xfId="1" applyNumberFormat="1" applyFont="1" applyFill="1" applyBorder="1" applyAlignment="1">
      <alignment horizontal="right" vertical="center"/>
    </xf>
    <xf numFmtId="0" fontId="7" fillId="0" borderId="123" xfId="1" applyFont="1" applyFill="1" applyBorder="1" applyAlignment="1">
      <alignment horizontal="left" vertical="center" wrapText="1"/>
    </xf>
    <xf numFmtId="0" fontId="7" fillId="0" borderId="147" xfId="1" applyFont="1" applyFill="1" applyBorder="1" applyAlignment="1">
      <alignment horizontal="left" vertical="center" wrapText="1"/>
    </xf>
    <xf numFmtId="4" fontId="3" fillId="0" borderId="29" xfId="0" applyNumberFormat="1" applyFont="1" applyFill="1" applyBorder="1" applyAlignment="1">
      <alignment horizontal="center" vertical="center" wrapText="1"/>
    </xf>
    <xf numFmtId="4" fontId="16" fillId="0" borderId="95" xfId="1" applyNumberFormat="1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horizontal="center" vertical="center"/>
    </xf>
    <xf numFmtId="3" fontId="3" fillId="0" borderId="16" xfId="0" applyNumberFormat="1" applyFont="1" applyFill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3" fontId="23" fillId="0" borderId="16" xfId="0" applyNumberFormat="1" applyFont="1" applyFill="1" applyBorder="1" applyAlignment="1">
      <alignment horizontal="center" vertical="center" wrapText="1"/>
    </xf>
    <xf numFmtId="3" fontId="14" fillId="0" borderId="16" xfId="0" applyNumberFormat="1" applyFont="1" applyFill="1" applyBorder="1" applyAlignment="1">
      <alignment horizontal="center" vertical="center" wrapText="1"/>
    </xf>
    <xf numFmtId="3" fontId="23" fillId="0" borderId="16" xfId="0" applyNumberFormat="1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88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3" fontId="23" fillId="0" borderId="54" xfId="0" applyNumberFormat="1" applyFont="1" applyFill="1" applyBorder="1" applyAlignment="1">
      <alignment horizontal="center" vertical="center" wrapText="1"/>
    </xf>
    <xf numFmtId="3" fontId="23" fillId="0" borderId="12" xfId="0" applyNumberFormat="1" applyFont="1" applyFill="1" applyBorder="1" applyAlignment="1">
      <alignment horizontal="center" vertical="center" wrapText="1"/>
    </xf>
    <xf numFmtId="3" fontId="23" fillId="0" borderId="88" xfId="0" applyNumberFormat="1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</cellXfs>
  <cellStyles count="3">
    <cellStyle name="Normál" xfId="0" builtinId="0"/>
    <cellStyle name="Normál_1MELL" xfId="1"/>
    <cellStyle name="Normál_2MELL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242572</xdr:colOff>
      <xdr:row>0</xdr:row>
      <xdr:rowOff>0</xdr:rowOff>
    </xdr:to>
    <xdr:sp macro="" textlink="">
      <xdr:nvSpPr>
        <xdr:cNvPr id="28673" name="Szöveg 1"/>
        <xdr:cNvSpPr txBox="1">
          <a:spLocks noChangeArrowheads="1"/>
        </xdr:cNvSpPr>
      </xdr:nvSpPr>
      <xdr:spPr bwMode="auto">
        <a:xfrm>
          <a:off x="2219325" y="0"/>
          <a:ext cx="238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00FF"/>
              </a:solidFill>
              <a:latin typeface="Times New Roman CE"/>
              <a:cs typeface="Times New Roman CE"/>
            </a:rPr>
            <a:t>Cím-név</a:t>
          </a:r>
          <a:endParaRPr lang="hu-HU"/>
        </a:p>
      </xdr:txBody>
    </xdr:sp>
    <xdr:clientData/>
  </xdr:twoCellAnchor>
  <xdr:twoCellAnchor>
    <xdr:from>
      <xdr:col>7</xdr:col>
      <xdr:colOff>377825</xdr:colOff>
      <xdr:row>0</xdr:row>
      <xdr:rowOff>0</xdr:rowOff>
    </xdr:from>
    <xdr:to>
      <xdr:col>8</xdr:col>
      <xdr:colOff>3213094</xdr:colOff>
      <xdr:row>0</xdr:row>
      <xdr:rowOff>0</xdr:rowOff>
    </xdr:to>
    <xdr:sp macro="" textlink="">
      <xdr:nvSpPr>
        <xdr:cNvPr id="28675" name="Szöveg 3"/>
        <xdr:cNvSpPr txBox="1">
          <a:spLocks noChangeArrowheads="1"/>
        </xdr:cNvSpPr>
      </xdr:nvSpPr>
      <xdr:spPr bwMode="auto">
        <a:xfrm>
          <a:off x="2971800" y="0"/>
          <a:ext cx="3105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800080"/>
              </a:solidFill>
              <a:latin typeface="Times New Roman CE"/>
              <a:cs typeface="Times New Roman CE"/>
            </a:rPr>
            <a:t>Előirányzati csoportnév</a:t>
          </a:r>
          <a:endParaRPr lang="hu-HU"/>
        </a:p>
      </xdr:txBody>
    </xdr:sp>
    <xdr:clientData/>
  </xdr:twoCellAnchor>
  <xdr:twoCellAnchor>
    <xdr:from>
      <xdr:col>9</xdr:col>
      <xdr:colOff>9525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8676" name="Szöveg 6"/>
        <xdr:cNvSpPr txBox="1">
          <a:spLocks noChangeArrowheads="1"/>
        </xdr:cNvSpPr>
      </xdr:nvSpPr>
      <xdr:spPr bwMode="auto">
        <a:xfrm>
          <a:off x="6086475" y="0"/>
          <a:ext cx="676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hu-HU" sz="800" b="0" i="0" u="none" strike="noStrike" baseline="0">
              <a:solidFill>
                <a:srgbClr val="008080"/>
              </a:solidFill>
              <a:latin typeface="Times New Roman CE"/>
              <a:cs typeface="Times New Roman CE"/>
            </a:rPr>
            <a:t>Kiemelt előirányzatnév</a:t>
          </a:r>
          <a:endParaRPr lang="hu-HU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2057</xdr:row>
      <xdr:rowOff>0</xdr:rowOff>
    </xdr:from>
    <xdr:to>
      <xdr:col>9</xdr:col>
      <xdr:colOff>0</xdr:colOff>
      <xdr:row>2057</xdr:row>
      <xdr:rowOff>0</xdr:rowOff>
    </xdr:to>
    <xdr:sp macro="" textlink="">
      <xdr:nvSpPr>
        <xdr:cNvPr id="41985" name="Szöveg 11"/>
        <xdr:cNvSpPr txBox="1">
          <a:spLocks noChangeArrowheads="1"/>
        </xdr:cNvSpPr>
      </xdr:nvSpPr>
      <xdr:spPr bwMode="auto">
        <a:xfrm>
          <a:off x="1924050" y="282140025"/>
          <a:ext cx="431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VI. fejezet: Hiteltörlesztések</a:t>
          </a: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5</xdr:col>
      <xdr:colOff>9525</xdr:colOff>
      <xdr:row>2057</xdr:row>
      <xdr:rowOff>0</xdr:rowOff>
    </xdr:from>
    <xdr:to>
      <xdr:col>9</xdr:col>
      <xdr:colOff>0</xdr:colOff>
      <xdr:row>2057</xdr:row>
      <xdr:rowOff>0</xdr:rowOff>
    </xdr:to>
    <xdr:sp macro="" textlink="">
      <xdr:nvSpPr>
        <xdr:cNvPr id="41986" name="Szöveg 12"/>
        <xdr:cNvSpPr txBox="1">
          <a:spLocks noChangeArrowheads="1"/>
        </xdr:cNvSpPr>
      </xdr:nvSpPr>
      <xdr:spPr bwMode="auto">
        <a:xfrm>
          <a:off x="1924050" y="282140025"/>
          <a:ext cx="431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VII. fejezet: Tartalékok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  <xdr:twoCellAnchor>
    <xdr:from>
      <xdr:col>5</xdr:col>
      <xdr:colOff>9525</xdr:colOff>
      <xdr:row>2057</xdr:row>
      <xdr:rowOff>0</xdr:rowOff>
    </xdr:from>
    <xdr:to>
      <xdr:col>9</xdr:col>
      <xdr:colOff>0</xdr:colOff>
      <xdr:row>2057</xdr:row>
      <xdr:rowOff>0</xdr:rowOff>
    </xdr:to>
    <xdr:sp macro="" textlink="">
      <xdr:nvSpPr>
        <xdr:cNvPr id="41987" name="Szöveg 13"/>
        <xdr:cNvSpPr txBox="1">
          <a:spLocks noChangeArrowheads="1"/>
        </xdr:cNvSpPr>
      </xdr:nvSpPr>
      <xdr:spPr bwMode="auto">
        <a:xfrm>
          <a:off x="1924050" y="282140025"/>
          <a:ext cx="431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hu-HU" sz="1200" b="1" i="0" u="none" strike="noStrike" baseline="0">
              <a:solidFill>
                <a:srgbClr val="FF0000"/>
              </a:solidFill>
              <a:latin typeface="H-Times New Roman"/>
            </a:rPr>
            <a:t>VIII. fejezet: Pénzmaradványi tartalék</a:t>
          </a:r>
        </a:p>
        <a:p>
          <a:pPr algn="ctr" rtl="0">
            <a:defRPr sz="1000"/>
          </a:pPr>
          <a:endParaRPr lang="hu-HU" sz="1200" b="1" i="0" u="none" strike="noStrike" baseline="0">
            <a:solidFill>
              <a:srgbClr val="FF0000"/>
            </a:solidFill>
            <a:latin typeface="H-Times New Roman"/>
          </a:endParaRPr>
        </a:p>
        <a:p>
          <a:pPr algn="ctr" rtl="0">
            <a:defRPr sz="1000"/>
          </a:pPr>
          <a:endParaRPr lang="hu-HU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1</xdr:row>
      <xdr:rowOff>69850</xdr:rowOff>
    </xdr:from>
    <xdr:to>
      <xdr:col>57</xdr:col>
      <xdr:colOff>863600</xdr:colOff>
      <xdr:row>3</xdr:row>
      <xdr:rowOff>50800</xdr:rowOff>
    </xdr:to>
    <xdr:sp macro="" textlink="">
      <xdr:nvSpPr>
        <xdr:cNvPr id="29697" name="Szöveg 1"/>
        <xdr:cNvSpPr txBox="1">
          <a:spLocks noChangeArrowheads="1"/>
        </xdr:cNvSpPr>
      </xdr:nvSpPr>
      <xdr:spPr bwMode="auto">
        <a:xfrm>
          <a:off x="25400" y="222250"/>
          <a:ext cx="22739350" cy="31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8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2018. évi költségvetés mérlege</a:t>
          </a:r>
          <a:endParaRPr lang="hu-HU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24130</xdr:rowOff>
    </xdr:from>
    <xdr:to>
      <xdr:col>57</xdr:col>
      <xdr:colOff>298450</xdr:colOff>
      <xdr:row>4</xdr:row>
      <xdr:rowOff>12762</xdr:rowOff>
    </xdr:to>
    <xdr:sp macro="" textlink="">
      <xdr:nvSpPr>
        <xdr:cNvPr id="2" name="Szöveg 1"/>
        <xdr:cNvSpPr txBox="1">
          <a:spLocks noChangeArrowheads="1"/>
        </xdr:cNvSpPr>
      </xdr:nvSpPr>
      <xdr:spPr bwMode="auto">
        <a:xfrm>
          <a:off x="19050" y="189230"/>
          <a:ext cx="15576550" cy="490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8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2018. évi költségvetés mérlege </a:t>
          </a:r>
          <a:r>
            <a:rPr lang="hu-HU" sz="1800" b="0" i="1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(Államigazgatási feladat)</a:t>
          </a:r>
          <a:endParaRPr lang="hu-HU" b="0" i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</xdr:row>
      <xdr:rowOff>6350</xdr:rowOff>
    </xdr:from>
    <xdr:to>
      <xdr:col>57</xdr:col>
      <xdr:colOff>787400</xdr:colOff>
      <xdr:row>3</xdr:row>
      <xdr:rowOff>158750</xdr:rowOff>
    </xdr:to>
    <xdr:sp macro="" textlink="">
      <xdr:nvSpPr>
        <xdr:cNvPr id="2" name="Szöveg 1"/>
        <xdr:cNvSpPr txBox="1">
          <a:spLocks noChangeArrowheads="1"/>
        </xdr:cNvSpPr>
      </xdr:nvSpPr>
      <xdr:spPr bwMode="auto">
        <a:xfrm>
          <a:off x="31750" y="158750"/>
          <a:ext cx="2414905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8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2018. évi költségvetés mérlege </a:t>
          </a:r>
          <a:r>
            <a:rPr lang="hu-HU" sz="1800" b="0" i="1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(Kötelező feladat)</a:t>
          </a:r>
          <a:endParaRPr lang="hu-HU" b="0" i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95250</xdr:rowOff>
    </xdr:from>
    <xdr:to>
      <xdr:col>57</xdr:col>
      <xdr:colOff>635000</xdr:colOff>
      <xdr:row>3</xdr:row>
      <xdr:rowOff>76200</xdr:rowOff>
    </xdr:to>
    <xdr:sp macro="" textlink="">
      <xdr:nvSpPr>
        <xdr:cNvPr id="2" name="Szöveg 1"/>
        <xdr:cNvSpPr txBox="1">
          <a:spLocks noChangeArrowheads="1"/>
        </xdr:cNvSpPr>
      </xdr:nvSpPr>
      <xdr:spPr bwMode="auto">
        <a:xfrm>
          <a:off x="0" y="247650"/>
          <a:ext cx="237617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hu-HU" sz="18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2018. évi költségvetés mérlege </a:t>
          </a:r>
          <a:r>
            <a:rPr lang="hu-HU" sz="1800" b="0" i="1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(Önként vállalt feladat)</a:t>
          </a:r>
          <a:endParaRPr lang="hu-HU" b="0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J579"/>
  <sheetViews>
    <sheetView showGridLines="0" view="pageBreakPreview" zoomScaleNormal="100" zoomScaleSheetLayoutView="100" workbookViewId="0">
      <pane xSplit="11" ySplit="5" topLeftCell="L119" activePane="bottomRight" state="frozenSplit"/>
      <selection activeCell="A400" sqref="A400"/>
      <selection pane="topRight" activeCell="AD400" sqref="AD400"/>
      <selection pane="bottomLeft" activeCell="A408" sqref="A408"/>
      <selection pane="bottomRight" activeCell="L576" sqref="L576"/>
    </sheetView>
  </sheetViews>
  <sheetFormatPr defaultColWidth="9.1796875" defaultRowHeight="15.5"/>
  <cols>
    <col min="1" max="1" width="4.54296875" style="244" customWidth="1"/>
    <col min="2" max="2" width="5.7265625" style="245" customWidth="1"/>
    <col min="3" max="3" width="5.54296875" style="23" customWidth="1"/>
    <col min="4" max="5" width="6.7265625" style="23" customWidth="1"/>
    <col min="6" max="6" width="4.26953125" style="244" customWidth="1"/>
    <col min="7" max="7" width="5.81640625" style="246" customWidth="1"/>
    <col min="8" max="8" width="5.453125" style="244" customWidth="1"/>
    <col min="9" max="9" width="46" style="244" customWidth="1"/>
    <col min="10" max="10" width="15.1796875" style="247" hidden="1" customWidth="1"/>
    <col min="11" max="11" width="14.81640625" style="247" hidden="1" customWidth="1"/>
    <col min="12" max="12" width="13.6328125" style="247" customWidth="1"/>
    <col min="13" max="33" width="16.1796875" style="247" hidden="1" customWidth="1"/>
    <col min="34" max="34" width="13.1796875" style="247" customWidth="1"/>
    <col min="35" max="35" width="13.26953125" style="247" customWidth="1"/>
    <col min="36" max="36" width="8.81640625" style="759" customWidth="1"/>
    <col min="37" max="16384" width="9.1796875" style="244"/>
  </cols>
  <sheetData>
    <row r="1" spans="1:36" s="239" customFormat="1" ht="13">
      <c r="A1" s="239" t="s">
        <v>94</v>
      </c>
      <c r="B1" s="240"/>
      <c r="C1" s="21"/>
      <c r="D1" s="21"/>
      <c r="E1" s="21"/>
      <c r="G1" s="241"/>
      <c r="J1" s="242"/>
      <c r="K1" s="242"/>
      <c r="T1" s="243"/>
      <c r="AH1" s="243"/>
      <c r="AI1" s="243"/>
      <c r="AJ1" s="243" t="s">
        <v>675</v>
      </c>
    </row>
    <row r="3" spans="1:36" s="239" customFormat="1" ht="13.5" thickBot="1">
      <c r="A3" s="248"/>
      <c r="B3" s="249"/>
      <c r="C3" s="250"/>
      <c r="D3" s="98"/>
      <c r="E3" s="98"/>
      <c r="F3" s="251"/>
      <c r="G3" s="252"/>
      <c r="H3" s="252"/>
      <c r="J3" s="253"/>
      <c r="K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728"/>
    </row>
    <row r="4" spans="1:36" ht="21" customHeight="1" thickBot="1">
      <c r="A4" s="916" t="s">
        <v>95</v>
      </c>
      <c r="B4" s="918" t="s">
        <v>33</v>
      </c>
      <c r="C4" s="918" t="s">
        <v>140</v>
      </c>
      <c r="D4" s="918" t="s">
        <v>309</v>
      </c>
      <c r="E4" s="918" t="s">
        <v>196</v>
      </c>
      <c r="F4" s="898" t="s">
        <v>61</v>
      </c>
      <c r="G4" s="898"/>
      <c r="H4" s="898"/>
      <c r="I4" s="899"/>
      <c r="J4" s="896" t="s">
        <v>450</v>
      </c>
      <c r="K4" s="896" t="s">
        <v>451</v>
      </c>
      <c r="L4" s="894" t="s">
        <v>535</v>
      </c>
      <c r="M4" s="881" t="s">
        <v>606</v>
      </c>
      <c r="N4" s="881"/>
      <c r="O4" s="881"/>
      <c r="P4" s="881"/>
      <c r="Q4" s="881"/>
      <c r="R4" s="881"/>
      <c r="S4" s="881"/>
      <c r="T4" s="873" t="s">
        <v>605</v>
      </c>
      <c r="U4" s="881" t="s">
        <v>606</v>
      </c>
      <c r="V4" s="881"/>
      <c r="W4" s="881"/>
      <c r="X4" s="881"/>
      <c r="Y4" s="881"/>
      <c r="Z4" s="881"/>
      <c r="AA4" s="873" t="s">
        <v>650</v>
      </c>
      <c r="AB4" s="881" t="s">
        <v>606</v>
      </c>
      <c r="AC4" s="881"/>
      <c r="AD4" s="881"/>
      <c r="AE4" s="881"/>
      <c r="AF4" s="881"/>
      <c r="AG4" s="881"/>
      <c r="AH4" s="873" t="s">
        <v>672</v>
      </c>
      <c r="AI4" s="873" t="s">
        <v>673</v>
      </c>
      <c r="AJ4" s="925" t="s">
        <v>674</v>
      </c>
    </row>
    <row r="5" spans="1:36" ht="51.75" customHeight="1" thickBot="1">
      <c r="A5" s="917"/>
      <c r="B5" s="919"/>
      <c r="C5" s="919"/>
      <c r="D5" s="919"/>
      <c r="E5" s="919"/>
      <c r="F5" s="691" t="s">
        <v>47</v>
      </c>
      <c r="G5" s="692" t="s">
        <v>48</v>
      </c>
      <c r="H5" s="920" t="s">
        <v>276</v>
      </c>
      <c r="I5" s="921"/>
      <c r="J5" s="897"/>
      <c r="K5" s="897"/>
      <c r="L5" s="895"/>
      <c r="M5" s="697" t="s">
        <v>536</v>
      </c>
      <c r="N5" s="697" t="s">
        <v>600</v>
      </c>
      <c r="O5" s="697" t="s">
        <v>601</v>
      </c>
      <c r="P5" s="697" t="s">
        <v>602</v>
      </c>
      <c r="Q5" s="697" t="s">
        <v>604</v>
      </c>
      <c r="R5" s="697" t="s">
        <v>603</v>
      </c>
      <c r="S5" s="697" t="s">
        <v>537</v>
      </c>
      <c r="T5" s="874"/>
      <c r="U5" s="697" t="s">
        <v>600</v>
      </c>
      <c r="V5" s="697" t="s">
        <v>601</v>
      </c>
      <c r="W5" s="697" t="s">
        <v>602</v>
      </c>
      <c r="X5" s="697" t="s">
        <v>604</v>
      </c>
      <c r="Y5" s="697" t="s">
        <v>603</v>
      </c>
      <c r="Z5" s="697" t="s">
        <v>537</v>
      </c>
      <c r="AA5" s="874"/>
      <c r="AB5" s="703" t="s">
        <v>600</v>
      </c>
      <c r="AC5" s="703" t="s">
        <v>601</v>
      </c>
      <c r="AD5" s="703" t="s">
        <v>602</v>
      </c>
      <c r="AE5" s="703" t="s">
        <v>604</v>
      </c>
      <c r="AF5" s="703" t="s">
        <v>603</v>
      </c>
      <c r="AG5" s="703" t="s">
        <v>537</v>
      </c>
      <c r="AH5" s="874"/>
      <c r="AI5" s="874"/>
      <c r="AJ5" s="926"/>
    </row>
    <row r="6" spans="1:36" ht="26" customHeight="1">
      <c r="A6" s="255"/>
      <c r="B6" s="256"/>
      <c r="C6" s="99"/>
      <c r="D6" s="99"/>
      <c r="E6" s="99"/>
      <c r="F6" s="257"/>
      <c r="G6" s="258"/>
      <c r="H6" s="259"/>
      <c r="I6" s="260"/>
      <c r="J6" s="261"/>
      <c r="K6" s="261"/>
      <c r="L6" s="262"/>
      <c r="M6" s="262"/>
      <c r="N6" s="224"/>
      <c r="O6" s="224"/>
      <c r="P6" s="224"/>
      <c r="Q6" s="224"/>
      <c r="R6" s="224"/>
      <c r="S6" s="224"/>
      <c r="T6" s="262"/>
      <c r="U6" s="224"/>
      <c r="V6" s="224"/>
      <c r="W6" s="224"/>
      <c r="X6" s="224"/>
      <c r="Y6" s="224"/>
      <c r="Z6" s="224"/>
      <c r="AA6" s="262"/>
      <c r="AB6" s="224"/>
      <c r="AC6" s="224"/>
      <c r="AD6" s="224"/>
      <c r="AE6" s="224"/>
      <c r="AF6" s="224"/>
      <c r="AG6" s="224"/>
      <c r="AH6" s="262"/>
      <c r="AI6" s="262"/>
      <c r="AJ6" s="729"/>
    </row>
    <row r="7" spans="1:36" ht="18">
      <c r="A7" s="263"/>
      <c r="B7" s="264"/>
      <c r="C7" s="100"/>
      <c r="D7" s="100"/>
      <c r="E7" s="100"/>
      <c r="F7" s="265" t="s">
        <v>34</v>
      </c>
      <c r="G7" s="266"/>
      <c r="H7" s="267"/>
      <c r="I7" s="268"/>
      <c r="J7" s="269"/>
      <c r="K7" s="269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730"/>
    </row>
    <row r="8" spans="1:36" ht="18">
      <c r="A8" s="263"/>
      <c r="B8" s="264"/>
      <c r="C8" s="100"/>
      <c r="D8" s="100"/>
      <c r="E8" s="100"/>
      <c r="F8" s="265"/>
      <c r="G8" s="266"/>
      <c r="H8" s="267"/>
      <c r="I8" s="268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731"/>
    </row>
    <row r="9" spans="1:36" s="45" customFormat="1" ht="14">
      <c r="A9" s="103">
        <v>1</v>
      </c>
      <c r="B9" s="271"/>
      <c r="C9" s="22"/>
      <c r="D9" s="22"/>
      <c r="E9" s="22"/>
      <c r="F9" s="9" t="s">
        <v>122</v>
      </c>
      <c r="G9" s="690"/>
      <c r="H9" s="690"/>
      <c r="I9" s="690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732"/>
    </row>
    <row r="10" spans="1:36" s="45" customFormat="1" ht="14" customHeight="1">
      <c r="A10" s="103"/>
      <c r="B10" s="271"/>
      <c r="C10" s="22">
        <v>1</v>
      </c>
      <c r="D10" s="22">
        <v>4</v>
      </c>
      <c r="E10" s="22" t="s">
        <v>199</v>
      </c>
      <c r="F10" s="272"/>
      <c r="G10" s="690"/>
      <c r="H10" s="689" t="s">
        <v>285</v>
      </c>
      <c r="I10" s="684"/>
      <c r="J10" s="105">
        <v>40957000</v>
      </c>
      <c r="K10" s="105"/>
      <c r="L10" s="105">
        <f>SUM(J10:K10)</f>
        <v>40957000</v>
      </c>
      <c r="M10" s="105"/>
      <c r="N10" s="105"/>
      <c r="O10" s="105"/>
      <c r="P10" s="105"/>
      <c r="Q10" s="105"/>
      <c r="R10" s="105"/>
      <c r="S10" s="105">
        <f>SUM(M10:R10)</f>
        <v>0</v>
      </c>
      <c r="T10" s="105">
        <f>S10+L10</f>
        <v>40957000</v>
      </c>
      <c r="U10" s="105"/>
      <c r="V10" s="105"/>
      <c r="W10" s="105"/>
      <c r="X10" s="105"/>
      <c r="Y10" s="105"/>
      <c r="Z10" s="105">
        <f>SUM(U10:Y10)</f>
        <v>0</v>
      </c>
      <c r="AA10" s="105">
        <f>Z10+T10</f>
        <v>40957000</v>
      </c>
      <c r="AB10" s="105"/>
      <c r="AC10" s="105">
        <v>3263524</v>
      </c>
      <c r="AD10" s="105"/>
      <c r="AE10" s="105"/>
      <c r="AF10" s="105"/>
      <c r="AG10" s="105">
        <f>SUM(AB10:AF10)</f>
        <v>3263524</v>
      </c>
      <c r="AH10" s="105">
        <f>AG10+AA10</f>
        <v>44220524</v>
      </c>
      <c r="AI10" s="105">
        <v>44220524</v>
      </c>
      <c r="AJ10" s="732">
        <f>AI10/AH10*100</f>
        <v>100</v>
      </c>
    </row>
    <row r="11" spans="1:36" s="45" customFormat="1" ht="14" customHeight="1">
      <c r="A11" s="103"/>
      <c r="B11" s="271"/>
      <c r="C11" s="22">
        <v>3</v>
      </c>
      <c r="D11" s="22">
        <v>1</v>
      </c>
      <c r="E11" s="22" t="s">
        <v>199</v>
      </c>
      <c r="F11" s="272"/>
      <c r="G11" s="690"/>
      <c r="H11" s="689" t="s">
        <v>239</v>
      </c>
      <c r="I11" s="684"/>
      <c r="J11" s="105">
        <v>5278000</v>
      </c>
      <c r="K11" s="105"/>
      <c r="L11" s="105">
        <f>SUM(J11:K11)</f>
        <v>5278000</v>
      </c>
      <c r="M11" s="105"/>
      <c r="N11" s="105"/>
      <c r="O11" s="105"/>
      <c r="P11" s="105"/>
      <c r="Q11" s="105"/>
      <c r="R11" s="105">
        <v>32433109</v>
      </c>
      <c r="S11" s="105">
        <f t="shared" ref="S11:S13" si="0">SUM(M11:R11)</f>
        <v>32433109</v>
      </c>
      <c r="T11" s="105">
        <f t="shared" ref="T11:T13" si="1">S11+L11</f>
        <v>37711109</v>
      </c>
      <c r="U11" s="105"/>
      <c r="V11" s="105"/>
      <c r="W11" s="105"/>
      <c r="X11" s="105"/>
      <c r="Y11" s="105">
        <v>81985380</v>
      </c>
      <c r="Z11" s="105">
        <f>SUM(U11:Y11)</f>
        <v>81985380</v>
      </c>
      <c r="AA11" s="105">
        <f>Z11+T11</f>
        <v>119696489</v>
      </c>
      <c r="AB11" s="105"/>
      <c r="AC11" s="105">
        <v>-10099355</v>
      </c>
      <c r="AD11" s="105"/>
      <c r="AE11" s="105"/>
      <c r="AF11" s="105">
        <f>689479+89479+5689479</f>
        <v>6468437</v>
      </c>
      <c r="AG11" s="105">
        <f>SUM(AB11:AF11)</f>
        <v>-3630918</v>
      </c>
      <c r="AH11" s="105">
        <f t="shared" ref="AH11:AH13" si="2">AG11+AA11</f>
        <v>116065571</v>
      </c>
      <c r="AI11" s="105">
        <v>116065571</v>
      </c>
      <c r="AJ11" s="732">
        <f t="shared" ref="AJ11:AJ13" si="3">AI11/AH11*100</f>
        <v>100</v>
      </c>
    </row>
    <row r="12" spans="1:36" s="45" customFormat="1" ht="14" customHeight="1">
      <c r="A12" s="273"/>
      <c r="B12" s="274"/>
      <c r="C12" s="155">
        <v>6</v>
      </c>
      <c r="D12" s="155">
        <v>2</v>
      </c>
      <c r="E12" s="155" t="s">
        <v>199</v>
      </c>
      <c r="F12" s="689"/>
      <c r="G12" s="690"/>
      <c r="H12" s="689" t="s">
        <v>454</v>
      </c>
      <c r="I12" s="684"/>
      <c r="J12" s="156"/>
      <c r="K12" s="156"/>
      <c r="L12" s="156"/>
      <c r="M12" s="156"/>
      <c r="N12" s="156"/>
      <c r="O12" s="156"/>
      <c r="P12" s="156"/>
      <c r="Q12" s="156"/>
      <c r="R12" s="156">
        <v>610190</v>
      </c>
      <c r="S12" s="105">
        <f t="shared" si="0"/>
        <v>610190</v>
      </c>
      <c r="T12" s="105">
        <f t="shared" si="1"/>
        <v>610190</v>
      </c>
      <c r="U12" s="156"/>
      <c r="V12" s="156"/>
      <c r="W12" s="156"/>
      <c r="X12" s="156"/>
      <c r="Y12" s="156"/>
      <c r="Z12" s="105">
        <f>SUM(U12:Y12)</f>
        <v>0</v>
      </c>
      <c r="AA12" s="105">
        <f>Z12+T12</f>
        <v>610190</v>
      </c>
      <c r="AB12" s="156"/>
      <c r="AC12" s="156">
        <v>10099355</v>
      </c>
      <c r="AD12" s="156"/>
      <c r="AE12" s="156"/>
      <c r="AF12" s="156"/>
      <c r="AG12" s="105">
        <f>SUM(AB12:AF12)</f>
        <v>10099355</v>
      </c>
      <c r="AH12" s="105">
        <f t="shared" si="2"/>
        <v>10709545</v>
      </c>
      <c r="AI12" s="105">
        <v>10709545</v>
      </c>
      <c r="AJ12" s="732">
        <f t="shared" si="3"/>
        <v>100</v>
      </c>
    </row>
    <row r="13" spans="1:36" s="45" customFormat="1" ht="14" customHeight="1">
      <c r="A13" s="103"/>
      <c r="B13" s="271"/>
      <c r="C13" s="22">
        <v>8</v>
      </c>
      <c r="D13" s="22">
        <v>8</v>
      </c>
      <c r="E13" s="22" t="s">
        <v>199</v>
      </c>
      <c r="F13" s="689"/>
      <c r="G13" s="690"/>
      <c r="H13" s="689" t="s">
        <v>539</v>
      </c>
      <c r="I13" s="684"/>
      <c r="J13" s="105"/>
      <c r="K13" s="105"/>
      <c r="L13" s="105"/>
      <c r="M13" s="105">
        <v>16282753</v>
      </c>
      <c r="N13" s="105"/>
      <c r="O13" s="105"/>
      <c r="P13" s="105"/>
      <c r="Q13" s="105"/>
      <c r="R13" s="105"/>
      <c r="S13" s="105">
        <f t="shared" si="0"/>
        <v>16282753</v>
      </c>
      <c r="T13" s="105">
        <f t="shared" si="1"/>
        <v>16282753</v>
      </c>
      <c r="U13" s="105"/>
      <c r="V13" s="105"/>
      <c r="W13" s="105"/>
      <c r="X13" s="105"/>
      <c r="Y13" s="105"/>
      <c r="Z13" s="105">
        <f>SUM(U13:Y13)</f>
        <v>0</v>
      </c>
      <c r="AA13" s="105">
        <f>Z13+T13</f>
        <v>16282753</v>
      </c>
      <c r="AB13" s="105"/>
      <c r="AC13" s="105"/>
      <c r="AD13" s="105"/>
      <c r="AE13" s="105"/>
      <c r="AF13" s="105"/>
      <c r="AG13" s="105">
        <f>SUM(AB13:AF13)</f>
        <v>0</v>
      </c>
      <c r="AH13" s="105">
        <f t="shared" si="2"/>
        <v>16282753</v>
      </c>
      <c r="AI13" s="105">
        <v>16282753</v>
      </c>
      <c r="AJ13" s="732">
        <f t="shared" si="3"/>
        <v>100</v>
      </c>
    </row>
    <row r="14" spans="1:36" s="45" customFormat="1" ht="14" customHeight="1">
      <c r="A14" s="103"/>
      <c r="B14" s="271"/>
      <c r="C14" s="22"/>
      <c r="D14" s="22"/>
      <c r="E14" s="22"/>
      <c r="F14" s="689"/>
      <c r="G14" s="690"/>
      <c r="H14" s="689"/>
      <c r="I14" s="684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732"/>
    </row>
    <row r="15" spans="1:36" s="45" customFormat="1" ht="14" customHeight="1">
      <c r="A15" s="103"/>
      <c r="B15" s="271"/>
      <c r="C15" s="22"/>
      <c r="D15" s="22"/>
      <c r="E15" s="22"/>
      <c r="F15" s="20" t="s">
        <v>37</v>
      </c>
      <c r="G15" s="20"/>
      <c r="H15" s="4"/>
      <c r="I15" s="5"/>
      <c r="J15" s="101">
        <f>SUM(J10:J14)</f>
        <v>46235000</v>
      </c>
      <c r="K15" s="101"/>
      <c r="L15" s="101">
        <f>SUM(L10:L14)</f>
        <v>46235000</v>
      </c>
      <c r="M15" s="101">
        <f t="shared" ref="M15:T15" si="4">SUM(M10:M14)</f>
        <v>16282753</v>
      </c>
      <c r="N15" s="101">
        <f t="shared" si="4"/>
        <v>0</v>
      </c>
      <c r="O15" s="101">
        <f t="shared" si="4"/>
        <v>0</v>
      </c>
      <c r="P15" s="101">
        <f t="shared" si="4"/>
        <v>0</v>
      </c>
      <c r="Q15" s="101">
        <f t="shared" si="4"/>
        <v>0</v>
      </c>
      <c r="R15" s="101">
        <f t="shared" si="4"/>
        <v>33043299</v>
      </c>
      <c r="S15" s="101">
        <f t="shared" si="4"/>
        <v>49326052</v>
      </c>
      <c r="T15" s="101">
        <f t="shared" si="4"/>
        <v>95561052</v>
      </c>
      <c r="U15" s="101"/>
      <c r="V15" s="101"/>
      <c r="W15" s="101"/>
      <c r="X15" s="101"/>
      <c r="Y15" s="101">
        <f t="shared" ref="Y15:AC15" si="5">SUM(Y10:Y14)</f>
        <v>81985380</v>
      </c>
      <c r="Z15" s="101">
        <f t="shared" si="5"/>
        <v>81985380</v>
      </c>
      <c r="AA15" s="101">
        <f t="shared" si="5"/>
        <v>177546432</v>
      </c>
      <c r="AB15" s="101"/>
      <c r="AC15" s="101">
        <f t="shared" si="5"/>
        <v>3263524</v>
      </c>
      <c r="AD15" s="101"/>
      <c r="AE15" s="101"/>
      <c r="AF15" s="101">
        <f t="shared" ref="AF15:AI15" si="6">SUM(AF10:AF14)</f>
        <v>6468437</v>
      </c>
      <c r="AG15" s="101">
        <f t="shared" si="6"/>
        <v>9731961</v>
      </c>
      <c r="AH15" s="101">
        <f t="shared" si="6"/>
        <v>187278393</v>
      </c>
      <c r="AI15" s="101">
        <f t="shared" si="6"/>
        <v>187278393</v>
      </c>
      <c r="AJ15" s="733">
        <f>AI15/AH15*100</f>
        <v>100</v>
      </c>
    </row>
    <row r="16" spans="1:36" s="45" customFormat="1" ht="14">
      <c r="A16" s="103"/>
      <c r="B16" s="271"/>
      <c r="C16" s="22"/>
      <c r="D16" s="22"/>
      <c r="E16" s="22"/>
      <c r="F16" s="6"/>
      <c r="G16" s="6"/>
      <c r="H16" s="7"/>
      <c r="I16" s="8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734"/>
    </row>
    <row r="17" spans="1:36" s="45" customFormat="1" ht="14">
      <c r="A17" s="103">
        <v>2</v>
      </c>
      <c r="B17" s="271"/>
      <c r="C17" s="22"/>
      <c r="D17" s="22"/>
      <c r="E17" s="22"/>
      <c r="F17" s="9" t="s">
        <v>77</v>
      </c>
      <c r="H17" s="690"/>
      <c r="I17" s="8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734"/>
    </row>
    <row r="18" spans="1:36" s="45" customFormat="1" ht="14">
      <c r="A18" s="103"/>
      <c r="B18" s="271"/>
      <c r="C18" s="22">
        <v>1</v>
      </c>
      <c r="D18" s="22">
        <v>4</v>
      </c>
      <c r="E18" s="22" t="s">
        <v>199</v>
      </c>
      <c r="F18" s="6"/>
      <c r="G18" s="693"/>
      <c r="H18" s="689" t="s">
        <v>285</v>
      </c>
      <c r="I18" s="8"/>
      <c r="J18" s="105">
        <v>30560000</v>
      </c>
      <c r="K18" s="105"/>
      <c r="L18" s="105">
        <f>SUM(J18:K18)</f>
        <v>30560000</v>
      </c>
      <c r="M18" s="105"/>
      <c r="N18" s="105"/>
      <c r="O18" s="105"/>
      <c r="P18" s="105"/>
      <c r="Q18" s="105"/>
      <c r="R18" s="105"/>
      <c r="S18" s="105">
        <f t="shared" ref="S18:S22" si="7">SUM(M18:R18)</f>
        <v>0</v>
      </c>
      <c r="T18" s="105">
        <f t="shared" ref="T18:T22" si="8">S18+L18</f>
        <v>30560000</v>
      </c>
      <c r="U18" s="105"/>
      <c r="V18" s="105"/>
      <c r="W18" s="105"/>
      <c r="X18" s="105"/>
      <c r="Y18" s="105"/>
      <c r="Z18" s="105">
        <f>SUM(U18:Y18)</f>
        <v>0</v>
      </c>
      <c r="AA18" s="105">
        <f>Z18+T18</f>
        <v>30560000</v>
      </c>
      <c r="AB18" s="105"/>
      <c r="AC18" s="105">
        <v>1738474</v>
      </c>
      <c r="AD18" s="105"/>
      <c r="AE18" s="105"/>
      <c r="AF18" s="105"/>
      <c r="AG18" s="105">
        <f>SUM(AB18:AF18)</f>
        <v>1738474</v>
      </c>
      <c r="AH18" s="105">
        <f>AG18+AA18</f>
        <v>32298474</v>
      </c>
      <c r="AI18" s="105">
        <v>32298474</v>
      </c>
      <c r="AJ18" s="732">
        <f t="shared" ref="AJ18:AJ22" si="9">AI18/AH18*100</f>
        <v>100</v>
      </c>
    </row>
    <row r="19" spans="1:36" s="45" customFormat="1" ht="14">
      <c r="A19" s="103"/>
      <c r="B19" s="271"/>
      <c r="C19" s="22">
        <v>2</v>
      </c>
      <c r="D19" s="22">
        <v>6</v>
      </c>
      <c r="E19" s="22" t="s">
        <v>199</v>
      </c>
      <c r="F19" s="272"/>
      <c r="G19" s="690"/>
      <c r="H19" s="689" t="s">
        <v>252</v>
      </c>
      <c r="I19" s="684"/>
      <c r="J19" s="105">
        <v>60000000</v>
      </c>
      <c r="K19" s="105"/>
      <c r="L19" s="105">
        <f>SUM(J19:K19)</f>
        <v>60000000</v>
      </c>
      <c r="M19" s="105"/>
      <c r="N19" s="105"/>
      <c r="O19" s="105"/>
      <c r="P19" s="105"/>
      <c r="Q19" s="105"/>
      <c r="R19" s="105">
        <v>4600000</v>
      </c>
      <c r="S19" s="105">
        <f t="shared" si="7"/>
        <v>4600000</v>
      </c>
      <c r="T19" s="105">
        <f t="shared" si="8"/>
        <v>64600000</v>
      </c>
      <c r="U19" s="105"/>
      <c r="V19" s="105"/>
      <c r="W19" s="105"/>
      <c r="X19" s="105"/>
      <c r="Y19" s="105">
        <v>5598000</v>
      </c>
      <c r="Z19" s="105">
        <f>SUM(U19:Y19)</f>
        <v>5598000</v>
      </c>
      <c r="AA19" s="105">
        <f>Z19+T19</f>
        <v>70198000</v>
      </c>
      <c r="AB19" s="105"/>
      <c r="AC19" s="105"/>
      <c r="AD19" s="105"/>
      <c r="AE19" s="105"/>
      <c r="AF19" s="105">
        <f>9603822+350000</f>
        <v>9953822</v>
      </c>
      <c r="AG19" s="105">
        <f>SUM(AB19:AF19)</f>
        <v>9953822</v>
      </c>
      <c r="AH19" s="105">
        <f t="shared" ref="AH19:AH22" si="10">AG19+AA19</f>
        <v>80151822</v>
      </c>
      <c r="AI19" s="105">
        <v>80151822</v>
      </c>
      <c r="AJ19" s="732">
        <f t="shared" si="9"/>
        <v>100</v>
      </c>
    </row>
    <row r="20" spans="1:36" s="45" customFormat="1" ht="14">
      <c r="A20" s="103"/>
      <c r="B20" s="271"/>
      <c r="C20" s="22">
        <v>3</v>
      </c>
      <c r="D20" s="22">
        <v>1</v>
      </c>
      <c r="E20" s="22" t="s">
        <v>199</v>
      </c>
      <c r="F20" s="272"/>
      <c r="G20" s="690"/>
      <c r="H20" s="689" t="s">
        <v>239</v>
      </c>
      <c r="I20" s="684"/>
      <c r="J20" s="105">
        <v>1377098</v>
      </c>
      <c r="K20" s="105"/>
      <c r="L20" s="105">
        <f>SUM(J20:K20)</f>
        <v>1377098</v>
      </c>
      <c r="M20" s="105"/>
      <c r="N20" s="105"/>
      <c r="O20" s="105"/>
      <c r="P20" s="105"/>
      <c r="Q20" s="105"/>
      <c r="R20" s="105">
        <v>765060</v>
      </c>
      <c r="S20" s="105">
        <f t="shared" si="7"/>
        <v>765060</v>
      </c>
      <c r="T20" s="105">
        <f t="shared" si="8"/>
        <v>2142158</v>
      </c>
      <c r="U20" s="105"/>
      <c r="V20" s="105"/>
      <c r="W20" s="105"/>
      <c r="X20" s="105"/>
      <c r="Y20" s="105">
        <v>1305310</v>
      </c>
      <c r="Z20" s="105">
        <f>SUM(U20:Y20)</f>
        <v>1305310</v>
      </c>
      <c r="AA20" s="105">
        <f>Z20+T20</f>
        <v>3447468</v>
      </c>
      <c r="AB20" s="105"/>
      <c r="AC20" s="105"/>
      <c r="AD20" s="105"/>
      <c r="AE20" s="105"/>
      <c r="AF20" s="105">
        <f>268437+268436+268437</f>
        <v>805310</v>
      </c>
      <c r="AG20" s="105">
        <f>SUM(AB20:AF20)</f>
        <v>805310</v>
      </c>
      <c r="AH20" s="105">
        <f t="shared" si="10"/>
        <v>4252778</v>
      </c>
      <c r="AI20" s="105">
        <v>4252778</v>
      </c>
      <c r="AJ20" s="732">
        <f t="shared" si="9"/>
        <v>100</v>
      </c>
    </row>
    <row r="21" spans="1:36" s="45" customFormat="1" ht="14">
      <c r="A21" s="103"/>
      <c r="B21" s="271"/>
      <c r="C21" s="22">
        <v>5</v>
      </c>
      <c r="D21" s="22">
        <v>7</v>
      </c>
      <c r="E21" s="22" t="s">
        <v>199</v>
      </c>
      <c r="F21" s="689"/>
      <c r="G21" s="690"/>
      <c r="H21" s="689" t="s">
        <v>268</v>
      </c>
      <c r="I21" s="684"/>
      <c r="J21" s="105"/>
      <c r="K21" s="105">
        <v>173722606</v>
      </c>
      <c r="L21" s="105">
        <f>SUM(J21:K21)</f>
        <v>173722606</v>
      </c>
      <c r="M21" s="105"/>
      <c r="N21" s="105"/>
      <c r="O21" s="105"/>
      <c r="P21" s="105"/>
      <c r="Q21" s="105"/>
      <c r="R21" s="105">
        <v>563959</v>
      </c>
      <c r="S21" s="105">
        <f t="shared" si="7"/>
        <v>563959</v>
      </c>
      <c r="T21" s="105">
        <f t="shared" si="8"/>
        <v>174286565</v>
      </c>
      <c r="U21" s="105"/>
      <c r="V21" s="105"/>
      <c r="W21" s="105"/>
      <c r="X21" s="105"/>
      <c r="Y21" s="105">
        <v>1559396</v>
      </c>
      <c r="Z21" s="105">
        <f>SUM(U21:Y21)</f>
        <v>1559396</v>
      </c>
      <c r="AA21" s="105">
        <f>Z21+T21</f>
        <v>175845961</v>
      </c>
      <c r="AB21" s="105"/>
      <c r="AC21" s="105"/>
      <c r="AD21" s="105"/>
      <c r="AE21" s="105"/>
      <c r="AF21" s="105"/>
      <c r="AG21" s="105">
        <f>SUM(AB21:AF21)</f>
        <v>0</v>
      </c>
      <c r="AH21" s="105">
        <f t="shared" si="10"/>
        <v>175845961</v>
      </c>
      <c r="AI21" s="105">
        <v>175845961</v>
      </c>
      <c r="AJ21" s="732">
        <f t="shared" si="9"/>
        <v>100</v>
      </c>
    </row>
    <row r="22" spans="1:36" s="45" customFormat="1" ht="14">
      <c r="A22" s="103"/>
      <c r="B22" s="271"/>
      <c r="C22" s="22">
        <v>8</v>
      </c>
      <c r="D22" s="22">
        <v>8</v>
      </c>
      <c r="E22" s="22" t="s">
        <v>199</v>
      </c>
      <c r="F22" s="689"/>
      <c r="G22" s="690"/>
      <c r="H22" s="689" t="s">
        <v>539</v>
      </c>
      <c r="I22" s="684"/>
      <c r="J22" s="105"/>
      <c r="K22" s="105"/>
      <c r="L22" s="105"/>
      <c r="M22" s="105">
        <v>74166135</v>
      </c>
      <c r="N22" s="105"/>
      <c r="O22" s="105"/>
      <c r="P22" s="105"/>
      <c r="Q22" s="105"/>
      <c r="R22" s="105"/>
      <c r="S22" s="105">
        <f t="shared" si="7"/>
        <v>74166135</v>
      </c>
      <c r="T22" s="105">
        <f t="shared" si="8"/>
        <v>74166135</v>
      </c>
      <c r="U22" s="105"/>
      <c r="V22" s="105"/>
      <c r="W22" s="105"/>
      <c r="X22" s="105"/>
      <c r="Y22" s="105"/>
      <c r="Z22" s="105">
        <f>SUM(U22:Y22)</f>
        <v>0</v>
      </c>
      <c r="AA22" s="105">
        <f>Z22+T22</f>
        <v>74166135</v>
      </c>
      <c r="AB22" s="105"/>
      <c r="AC22" s="105"/>
      <c r="AD22" s="105"/>
      <c r="AE22" s="105"/>
      <c r="AF22" s="105"/>
      <c r="AG22" s="105">
        <f>SUM(AB22:AF22)</f>
        <v>0</v>
      </c>
      <c r="AH22" s="105">
        <f t="shared" si="10"/>
        <v>74166135</v>
      </c>
      <c r="AI22" s="105">
        <v>74166135</v>
      </c>
      <c r="AJ22" s="732">
        <f t="shared" si="9"/>
        <v>100</v>
      </c>
    </row>
    <row r="23" spans="1:36" s="45" customFormat="1" ht="14">
      <c r="A23" s="103"/>
      <c r="B23" s="271"/>
      <c r="C23" s="22"/>
      <c r="D23" s="22"/>
      <c r="E23" s="22"/>
      <c r="F23" s="6"/>
      <c r="G23" s="6"/>
      <c r="H23" s="7"/>
      <c r="I23" s="8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734"/>
    </row>
    <row r="24" spans="1:36" s="45" customFormat="1" ht="14">
      <c r="A24" s="103"/>
      <c r="B24" s="271"/>
      <c r="C24" s="22"/>
      <c r="D24" s="22"/>
      <c r="E24" s="22"/>
      <c r="F24" s="20" t="s">
        <v>37</v>
      </c>
      <c r="G24" s="20"/>
      <c r="H24" s="4"/>
      <c r="I24" s="5"/>
      <c r="J24" s="101">
        <f>SUM(J18:J23)</f>
        <v>91937098</v>
      </c>
      <c r="K24" s="101">
        <f>SUM(K18:K23)</f>
        <v>173722606</v>
      </c>
      <c r="L24" s="101">
        <f>SUM(L18:L23)</f>
        <v>265659704</v>
      </c>
      <c r="M24" s="101">
        <f t="shared" ref="M24:T24" si="11">SUM(M18:M23)</f>
        <v>74166135</v>
      </c>
      <c r="N24" s="101">
        <f t="shared" si="11"/>
        <v>0</v>
      </c>
      <c r="O24" s="101">
        <f t="shared" si="11"/>
        <v>0</v>
      </c>
      <c r="P24" s="101">
        <f t="shared" si="11"/>
        <v>0</v>
      </c>
      <c r="Q24" s="101">
        <f t="shared" si="11"/>
        <v>0</v>
      </c>
      <c r="R24" s="101">
        <f t="shared" si="11"/>
        <v>5929019</v>
      </c>
      <c r="S24" s="101">
        <f t="shared" si="11"/>
        <v>80095154</v>
      </c>
      <c r="T24" s="101">
        <f t="shared" si="11"/>
        <v>345754858</v>
      </c>
      <c r="U24" s="101"/>
      <c r="V24" s="101"/>
      <c r="W24" s="101"/>
      <c r="X24" s="101"/>
      <c r="Y24" s="101">
        <f t="shared" ref="Y24:AA24" si="12">SUM(Y18:Y23)</f>
        <v>8462706</v>
      </c>
      <c r="Z24" s="101">
        <f t="shared" si="12"/>
        <v>8462706</v>
      </c>
      <c r="AA24" s="101">
        <f t="shared" si="12"/>
        <v>354217564</v>
      </c>
      <c r="AB24" s="101"/>
      <c r="AC24" s="101">
        <f t="shared" ref="AC24:AE24" si="13">SUM(AC18:AC23)</f>
        <v>1738474</v>
      </c>
      <c r="AD24" s="101">
        <f t="shared" si="13"/>
        <v>0</v>
      </c>
      <c r="AE24" s="101">
        <f t="shared" si="13"/>
        <v>0</v>
      </c>
      <c r="AF24" s="101">
        <f t="shared" ref="AF24:AI24" si="14">SUM(AF18:AF23)</f>
        <v>10759132</v>
      </c>
      <c r="AG24" s="101">
        <f t="shared" si="14"/>
        <v>12497606</v>
      </c>
      <c r="AH24" s="101">
        <f t="shared" si="14"/>
        <v>366715170</v>
      </c>
      <c r="AI24" s="101">
        <f t="shared" si="14"/>
        <v>366715170</v>
      </c>
      <c r="AJ24" s="733">
        <f>AI24/AH24*100</f>
        <v>100</v>
      </c>
    </row>
    <row r="25" spans="1:36" s="45" customFormat="1" ht="14">
      <c r="A25" s="103"/>
      <c r="B25" s="271"/>
      <c r="C25" s="22"/>
      <c r="D25" s="22"/>
      <c r="E25" s="22"/>
      <c r="F25" s="272"/>
      <c r="G25" s="690"/>
      <c r="H25" s="689"/>
      <c r="I25" s="687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734"/>
    </row>
    <row r="26" spans="1:36" s="45" customFormat="1" ht="14">
      <c r="A26" s="103">
        <v>3</v>
      </c>
      <c r="B26" s="271"/>
      <c r="C26" s="22"/>
      <c r="D26" s="22"/>
      <c r="E26" s="22"/>
      <c r="F26" s="9" t="s">
        <v>360</v>
      </c>
      <c r="H26" s="9"/>
      <c r="I26" s="27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732"/>
    </row>
    <row r="27" spans="1:36" s="45" customFormat="1" ht="14">
      <c r="A27" s="103"/>
      <c r="B27" s="271"/>
      <c r="C27" s="22">
        <v>1</v>
      </c>
      <c r="D27" s="22">
        <v>4</v>
      </c>
      <c r="E27" s="22" t="s">
        <v>199</v>
      </c>
      <c r="F27" s="272"/>
      <c r="G27" s="690"/>
      <c r="H27" s="689" t="s">
        <v>285</v>
      </c>
      <c r="I27" s="684"/>
      <c r="J27" s="105">
        <v>162620000</v>
      </c>
      <c r="K27" s="105"/>
      <c r="L27" s="105">
        <f>SUM(J27:K27)</f>
        <v>162620000</v>
      </c>
      <c r="M27" s="105"/>
      <c r="N27" s="105"/>
      <c r="O27" s="105"/>
      <c r="P27" s="105"/>
      <c r="Q27" s="105"/>
      <c r="R27" s="105"/>
      <c r="S27" s="105">
        <f t="shared" ref="S27:S31" si="15">SUM(M27:R27)</f>
        <v>0</v>
      </c>
      <c r="T27" s="105">
        <f t="shared" ref="T27:T31" si="16">S27+L27</f>
        <v>162620000</v>
      </c>
      <c r="U27" s="105"/>
      <c r="V27" s="105"/>
      <c r="W27" s="105"/>
      <c r="X27" s="105"/>
      <c r="Y27" s="105"/>
      <c r="Z27" s="105">
        <f>SUM(U27:Y27)</f>
        <v>0</v>
      </c>
      <c r="AA27" s="105">
        <f>Z27+T27</f>
        <v>162620000</v>
      </c>
      <c r="AB27" s="105"/>
      <c r="AC27" s="105"/>
      <c r="AD27" s="105"/>
      <c r="AE27" s="105"/>
      <c r="AF27" s="105"/>
      <c r="AG27" s="105">
        <f>SUM(AB27:AF27)</f>
        <v>0</v>
      </c>
      <c r="AH27" s="105">
        <f>AG27+AA27</f>
        <v>162620000</v>
      </c>
      <c r="AI27" s="105">
        <v>162540316</v>
      </c>
      <c r="AJ27" s="732">
        <f t="shared" ref="AJ27:AJ31" si="17">AI27/AH27*100</f>
        <v>99.950999877013899</v>
      </c>
    </row>
    <row r="28" spans="1:36" s="45" customFormat="1" ht="14">
      <c r="A28" s="103"/>
      <c r="B28" s="271"/>
      <c r="C28" s="22">
        <v>3</v>
      </c>
      <c r="D28" s="22">
        <v>1</v>
      </c>
      <c r="E28" s="22" t="s">
        <v>199</v>
      </c>
      <c r="F28" s="272"/>
      <c r="G28" s="690"/>
      <c r="H28" s="689" t="s">
        <v>239</v>
      </c>
      <c r="I28" s="684"/>
      <c r="J28" s="105">
        <v>1911000</v>
      </c>
      <c r="K28" s="105"/>
      <c r="L28" s="105">
        <f>SUM(J28:K28)</f>
        <v>1911000</v>
      </c>
      <c r="M28" s="105"/>
      <c r="N28" s="105"/>
      <c r="O28" s="105"/>
      <c r="P28" s="105"/>
      <c r="Q28" s="105"/>
      <c r="R28" s="105">
        <v>1795420</v>
      </c>
      <c r="S28" s="105">
        <f t="shared" si="15"/>
        <v>1795420</v>
      </c>
      <c r="T28" s="105">
        <f t="shared" si="16"/>
        <v>3706420</v>
      </c>
      <c r="U28" s="105"/>
      <c r="V28" s="105"/>
      <c r="W28" s="105"/>
      <c r="X28" s="105"/>
      <c r="Y28" s="105">
        <v>81572768</v>
      </c>
      <c r="Z28" s="105">
        <f>SUM(U28:Y28)</f>
        <v>81572768</v>
      </c>
      <c r="AA28" s="105">
        <f>Z28+T28</f>
        <v>85279188</v>
      </c>
      <c r="AB28" s="105"/>
      <c r="AC28" s="105">
        <v>-8000000</v>
      </c>
      <c r="AD28" s="105"/>
      <c r="AE28" s="105"/>
      <c r="AF28" s="105">
        <f>7098000+548217+565382+443853</f>
        <v>8655452</v>
      </c>
      <c r="AG28" s="105">
        <f t="shared" ref="AG28:AG31" si="18">SUM(AB28:AF28)</f>
        <v>655452</v>
      </c>
      <c r="AH28" s="105">
        <f t="shared" ref="AH28:AH31" si="19">AG28+AA28</f>
        <v>85934640</v>
      </c>
      <c r="AI28" s="105">
        <v>85934640</v>
      </c>
      <c r="AJ28" s="732">
        <f t="shared" si="17"/>
        <v>100</v>
      </c>
    </row>
    <row r="29" spans="1:36" s="45" customFormat="1" ht="14">
      <c r="A29" s="273"/>
      <c r="B29" s="274"/>
      <c r="C29" s="155">
        <v>6</v>
      </c>
      <c r="D29" s="155">
        <v>2</v>
      </c>
      <c r="E29" s="155" t="s">
        <v>199</v>
      </c>
      <c r="F29" s="713"/>
      <c r="G29" s="714"/>
      <c r="H29" s="713" t="s">
        <v>454</v>
      </c>
      <c r="I29" s="710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>
        <v>8000000</v>
      </c>
      <c r="AD29" s="156"/>
      <c r="AE29" s="156"/>
      <c r="AF29" s="156"/>
      <c r="AG29" s="105">
        <f t="shared" ref="AG29" si="20">SUM(AB29:AF29)</f>
        <v>8000000</v>
      </c>
      <c r="AH29" s="105">
        <f t="shared" ref="AH29" si="21">AG29+AA29</f>
        <v>8000000</v>
      </c>
      <c r="AI29" s="156">
        <v>8000000</v>
      </c>
      <c r="AJ29" s="732">
        <f t="shared" si="17"/>
        <v>100</v>
      </c>
    </row>
    <row r="30" spans="1:36" s="45" customFormat="1" ht="14">
      <c r="A30" s="273"/>
      <c r="B30" s="274"/>
      <c r="C30" s="155">
        <v>7</v>
      </c>
      <c r="D30" s="155">
        <v>5</v>
      </c>
      <c r="E30" s="155" t="s">
        <v>199</v>
      </c>
      <c r="F30" s="689"/>
      <c r="G30" s="690"/>
      <c r="H30" s="689" t="s">
        <v>643</v>
      </c>
      <c r="I30" s="684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05">
        <f t="shared" si="18"/>
        <v>0</v>
      </c>
      <c r="AH30" s="105">
        <f t="shared" si="19"/>
        <v>0</v>
      </c>
      <c r="AI30" s="156">
        <v>316875</v>
      </c>
      <c r="AJ30" s="732"/>
    </row>
    <row r="31" spans="1:36" s="45" customFormat="1" ht="14">
      <c r="A31" s="103"/>
      <c r="B31" s="271"/>
      <c r="C31" s="22">
        <v>8</v>
      </c>
      <c r="D31" s="22">
        <v>8</v>
      </c>
      <c r="E31" s="22" t="s">
        <v>199</v>
      </c>
      <c r="F31" s="689"/>
      <c r="G31" s="690"/>
      <c r="H31" s="689" t="s">
        <v>539</v>
      </c>
      <c r="I31" s="684"/>
      <c r="J31" s="105"/>
      <c r="K31" s="105"/>
      <c r="L31" s="105"/>
      <c r="M31" s="105">
        <v>81113848</v>
      </c>
      <c r="N31" s="105"/>
      <c r="O31" s="105"/>
      <c r="P31" s="105"/>
      <c r="Q31" s="105"/>
      <c r="R31" s="105"/>
      <c r="S31" s="105">
        <f t="shared" si="15"/>
        <v>81113848</v>
      </c>
      <c r="T31" s="105">
        <f t="shared" si="16"/>
        <v>81113848</v>
      </c>
      <c r="U31" s="105"/>
      <c r="V31" s="105"/>
      <c r="W31" s="105"/>
      <c r="X31" s="105"/>
      <c r="Y31" s="105"/>
      <c r="Z31" s="105">
        <f>SUM(U31:Y31)</f>
        <v>0</v>
      </c>
      <c r="AA31" s="105">
        <f>Z31+T31</f>
        <v>81113848</v>
      </c>
      <c r="AB31" s="105"/>
      <c r="AC31" s="105"/>
      <c r="AD31" s="105"/>
      <c r="AE31" s="105"/>
      <c r="AF31" s="105"/>
      <c r="AG31" s="105">
        <f t="shared" si="18"/>
        <v>0</v>
      </c>
      <c r="AH31" s="105">
        <f t="shared" si="19"/>
        <v>81113848</v>
      </c>
      <c r="AI31" s="105">
        <v>81113848</v>
      </c>
      <c r="AJ31" s="732">
        <f t="shared" si="17"/>
        <v>100</v>
      </c>
    </row>
    <row r="32" spans="1:36" s="45" customFormat="1" ht="14">
      <c r="A32" s="103"/>
      <c r="B32" s="271"/>
      <c r="C32" s="22"/>
      <c r="D32" s="22"/>
      <c r="E32" s="22"/>
      <c r="F32" s="689"/>
      <c r="G32" s="690"/>
      <c r="H32" s="689"/>
      <c r="I32" s="684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732"/>
    </row>
    <row r="33" spans="1:36" s="45" customFormat="1" ht="14">
      <c r="A33" s="103"/>
      <c r="B33" s="271"/>
      <c r="C33" s="22"/>
      <c r="D33" s="22"/>
      <c r="E33" s="22"/>
      <c r="F33" s="20" t="s">
        <v>37</v>
      </c>
      <c r="G33" s="20"/>
      <c r="H33" s="4"/>
      <c r="I33" s="5"/>
      <c r="J33" s="101">
        <f>SUM(J27:J32)</f>
        <v>164531000</v>
      </c>
      <c r="K33" s="101"/>
      <c r="L33" s="101">
        <f t="shared" ref="L33:T33" si="22">SUM(L27:L32)</f>
        <v>164531000</v>
      </c>
      <c r="M33" s="101">
        <f t="shared" si="22"/>
        <v>81113848</v>
      </c>
      <c r="N33" s="101">
        <f t="shared" si="22"/>
        <v>0</v>
      </c>
      <c r="O33" s="101">
        <f t="shared" si="22"/>
        <v>0</v>
      </c>
      <c r="P33" s="101">
        <f t="shared" si="22"/>
        <v>0</v>
      </c>
      <c r="Q33" s="101">
        <f t="shared" si="22"/>
        <v>0</v>
      </c>
      <c r="R33" s="101">
        <f t="shared" si="22"/>
        <v>1795420</v>
      </c>
      <c r="S33" s="101">
        <f t="shared" si="22"/>
        <v>82909268</v>
      </c>
      <c r="T33" s="101">
        <f t="shared" si="22"/>
        <v>247440268</v>
      </c>
      <c r="U33" s="101"/>
      <c r="V33" s="101"/>
      <c r="W33" s="101"/>
      <c r="X33" s="101"/>
      <c r="Y33" s="101">
        <f t="shared" ref="Y33:AI33" si="23">SUM(Y27:Y32)</f>
        <v>81572768</v>
      </c>
      <c r="Z33" s="101">
        <f t="shared" si="23"/>
        <v>81572768</v>
      </c>
      <c r="AA33" s="101">
        <f t="shared" si="23"/>
        <v>329013036</v>
      </c>
      <c r="AB33" s="101">
        <f t="shared" si="23"/>
        <v>0</v>
      </c>
      <c r="AC33" s="101">
        <f t="shared" si="23"/>
        <v>0</v>
      </c>
      <c r="AD33" s="101">
        <f t="shared" si="23"/>
        <v>0</v>
      </c>
      <c r="AE33" s="101">
        <f t="shared" si="23"/>
        <v>0</v>
      </c>
      <c r="AF33" s="101">
        <f t="shared" si="23"/>
        <v>8655452</v>
      </c>
      <c r="AG33" s="101">
        <f t="shared" si="23"/>
        <v>8655452</v>
      </c>
      <c r="AH33" s="101">
        <f t="shared" si="23"/>
        <v>337668488</v>
      </c>
      <c r="AI33" s="101">
        <f t="shared" si="23"/>
        <v>337905679</v>
      </c>
      <c r="AJ33" s="733">
        <f>AI33/AH33*100</f>
        <v>100.07024374747104</v>
      </c>
    </row>
    <row r="34" spans="1:36" s="45" customFormat="1" ht="13.5" customHeight="1">
      <c r="A34" s="103"/>
      <c r="B34" s="271"/>
      <c r="C34" s="22"/>
      <c r="D34" s="22"/>
      <c r="E34" s="22"/>
      <c r="F34" s="6"/>
      <c r="G34" s="6"/>
      <c r="H34" s="7"/>
      <c r="I34" s="8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734"/>
    </row>
    <row r="35" spans="1:36" s="45" customFormat="1" ht="14">
      <c r="A35" s="103">
        <v>4</v>
      </c>
      <c r="B35" s="271"/>
      <c r="C35" s="22"/>
      <c r="D35" s="22"/>
      <c r="E35" s="22"/>
      <c r="F35" s="9" t="s">
        <v>162</v>
      </c>
      <c r="H35" s="689"/>
      <c r="I35" s="687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734"/>
    </row>
    <row r="36" spans="1:36" s="45" customFormat="1" ht="14">
      <c r="A36" s="103"/>
      <c r="B36" s="271"/>
      <c r="C36" s="22">
        <v>1</v>
      </c>
      <c r="D36" s="22">
        <v>4</v>
      </c>
      <c r="E36" s="22" t="s">
        <v>199</v>
      </c>
      <c r="F36" s="272"/>
      <c r="G36" s="690"/>
      <c r="H36" s="689" t="s">
        <v>285</v>
      </c>
      <c r="I36" s="684"/>
      <c r="J36" s="105">
        <v>23960121</v>
      </c>
      <c r="K36" s="105"/>
      <c r="L36" s="105">
        <f>SUM(J36:K36)</f>
        <v>23960121</v>
      </c>
      <c r="M36" s="105"/>
      <c r="N36" s="105"/>
      <c r="O36" s="105"/>
      <c r="P36" s="105"/>
      <c r="Q36" s="105"/>
      <c r="R36" s="105"/>
      <c r="S36" s="105">
        <f t="shared" ref="S36:S39" si="24">SUM(M36:R36)</f>
        <v>0</v>
      </c>
      <c r="T36" s="105">
        <f t="shared" ref="T36:T39" si="25">S36+L36</f>
        <v>23960121</v>
      </c>
      <c r="U36" s="105"/>
      <c r="V36" s="105">
        <v>1060000</v>
      </c>
      <c r="W36" s="105"/>
      <c r="X36" s="105"/>
      <c r="Y36" s="105"/>
      <c r="Z36" s="105">
        <f>SUM(U36:Y36)</f>
        <v>1060000</v>
      </c>
      <c r="AA36" s="105">
        <f>Z36+T36</f>
        <v>25020121</v>
      </c>
      <c r="AB36" s="105"/>
      <c r="AC36" s="105">
        <v>-537408</v>
      </c>
      <c r="AD36" s="105"/>
      <c r="AE36" s="105"/>
      <c r="AF36" s="105"/>
      <c r="AG36" s="105">
        <f>SUM(AB36:AF36)</f>
        <v>-537408</v>
      </c>
      <c r="AH36" s="105">
        <f>AG36+AA36</f>
        <v>24482713</v>
      </c>
      <c r="AI36" s="105">
        <v>24563133</v>
      </c>
      <c r="AJ36" s="732">
        <f t="shared" ref="AJ36:AJ39" si="26">AI36/AH36*100</f>
        <v>100.32847666841498</v>
      </c>
    </row>
    <row r="37" spans="1:36" s="45" customFormat="1" ht="14">
      <c r="A37" s="103"/>
      <c r="B37" s="271"/>
      <c r="C37" s="22">
        <v>2</v>
      </c>
      <c r="D37" s="22">
        <v>6</v>
      </c>
      <c r="E37" s="22" t="s">
        <v>199</v>
      </c>
      <c r="F37" s="272"/>
      <c r="G37" s="690"/>
      <c r="H37" s="689" t="s">
        <v>252</v>
      </c>
      <c r="I37" s="684"/>
      <c r="J37" s="105">
        <v>1700000</v>
      </c>
      <c r="K37" s="105"/>
      <c r="L37" s="105">
        <f>SUM(J37:K37)</f>
        <v>1700000</v>
      </c>
      <c r="M37" s="105"/>
      <c r="N37" s="105"/>
      <c r="O37" s="105"/>
      <c r="P37" s="105"/>
      <c r="Q37" s="105"/>
      <c r="R37" s="105"/>
      <c r="S37" s="105">
        <f t="shared" si="24"/>
        <v>0</v>
      </c>
      <c r="T37" s="105">
        <f t="shared" si="25"/>
        <v>1700000</v>
      </c>
      <c r="U37" s="105"/>
      <c r="V37" s="105"/>
      <c r="W37" s="105"/>
      <c r="X37" s="105"/>
      <c r="Y37" s="105"/>
      <c r="Z37" s="105">
        <f>SUM(U37:Y37)</f>
        <v>0</v>
      </c>
      <c r="AA37" s="105">
        <f>Z37+T37</f>
        <v>1700000</v>
      </c>
      <c r="AB37" s="105"/>
      <c r="AC37" s="105"/>
      <c r="AD37" s="105"/>
      <c r="AE37" s="105"/>
      <c r="AF37" s="105"/>
      <c r="AG37" s="105">
        <f>SUM(AB37:AF37)</f>
        <v>0</v>
      </c>
      <c r="AH37" s="105">
        <f t="shared" ref="AH37:AH39" si="27">AG37+AA37</f>
        <v>1700000</v>
      </c>
      <c r="AI37" s="105">
        <v>1697697</v>
      </c>
      <c r="AJ37" s="732">
        <f t="shared" si="26"/>
        <v>99.864529411764707</v>
      </c>
    </row>
    <row r="38" spans="1:36" s="45" customFormat="1" ht="14">
      <c r="A38" s="103"/>
      <c r="B38" s="271"/>
      <c r="C38" s="22">
        <v>3</v>
      </c>
      <c r="D38" s="22">
        <v>1</v>
      </c>
      <c r="E38" s="22" t="s">
        <v>199</v>
      </c>
      <c r="F38" s="272"/>
      <c r="G38" s="690"/>
      <c r="H38" s="689" t="s">
        <v>239</v>
      </c>
      <c r="I38" s="684"/>
      <c r="J38" s="105">
        <v>3488941</v>
      </c>
      <c r="K38" s="105"/>
      <c r="L38" s="105">
        <f>SUM(J38:K38)</f>
        <v>3488941</v>
      </c>
      <c r="M38" s="105"/>
      <c r="N38" s="105"/>
      <c r="O38" s="105"/>
      <c r="P38" s="105"/>
      <c r="Q38" s="105"/>
      <c r="R38" s="105">
        <v>1711612</v>
      </c>
      <c r="S38" s="105">
        <f t="shared" si="24"/>
        <v>1711612</v>
      </c>
      <c r="T38" s="105">
        <f t="shared" si="25"/>
        <v>5200553</v>
      </c>
      <c r="U38" s="105"/>
      <c r="V38" s="105"/>
      <c r="W38" s="105"/>
      <c r="X38" s="105"/>
      <c r="Y38" s="105">
        <v>2402951</v>
      </c>
      <c r="Z38" s="105">
        <f>SUM(U38:Y38)</f>
        <v>2402951</v>
      </c>
      <c r="AA38" s="105">
        <f>Z38+T38</f>
        <v>7603504</v>
      </c>
      <c r="AB38" s="105"/>
      <c r="AC38" s="105"/>
      <c r="AD38" s="105"/>
      <c r="AE38" s="105"/>
      <c r="AF38" s="105">
        <f>497161+443476+806792</f>
        <v>1747429</v>
      </c>
      <c r="AG38" s="105">
        <f>SUM(AB38:AF38)</f>
        <v>1747429</v>
      </c>
      <c r="AH38" s="105">
        <f t="shared" si="27"/>
        <v>9350933</v>
      </c>
      <c r="AI38" s="105">
        <v>9350933</v>
      </c>
      <c r="AJ38" s="732">
        <f t="shared" si="26"/>
        <v>100</v>
      </c>
    </row>
    <row r="39" spans="1:36" s="45" customFormat="1" ht="14">
      <c r="A39" s="103"/>
      <c r="B39" s="271"/>
      <c r="C39" s="22">
        <v>8</v>
      </c>
      <c r="D39" s="22">
        <v>8</v>
      </c>
      <c r="E39" s="22" t="s">
        <v>199</v>
      </c>
      <c r="F39" s="689"/>
      <c r="G39" s="690"/>
      <c r="H39" s="689" t="s">
        <v>539</v>
      </c>
      <c r="I39" s="684"/>
      <c r="J39" s="105"/>
      <c r="K39" s="105"/>
      <c r="L39" s="105"/>
      <c r="M39" s="105">
        <v>4091899</v>
      </c>
      <c r="N39" s="105"/>
      <c r="O39" s="105"/>
      <c r="P39" s="105"/>
      <c r="Q39" s="105"/>
      <c r="R39" s="105"/>
      <c r="S39" s="105">
        <f t="shared" si="24"/>
        <v>4091899</v>
      </c>
      <c r="T39" s="105">
        <f t="shared" si="25"/>
        <v>4091899</v>
      </c>
      <c r="U39" s="105"/>
      <c r="V39" s="105"/>
      <c r="W39" s="105"/>
      <c r="X39" s="105"/>
      <c r="Y39" s="105"/>
      <c r="Z39" s="105">
        <f>SUM(U39:Y39)</f>
        <v>0</v>
      </c>
      <c r="AA39" s="105">
        <f>Z39+T39</f>
        <v>4091899</v>
      </c>
      <c r="AB39" s="105"/>
      <c r="AC39" s="105"/>
      <c r="AD39" s="105"/>
      <c r="AE39" s="105"/>
      <c r="AF39" s="105"/>
      <c r="AG39" s="105">
        <f>SUM(AB39:AF39)</f>
        <v>0</v>
      </c>
      <c r="AH39" s="105">
        <f t="shared" si="27"/>
        <v>4091899</v>
      </c>
      <c r="AI39" s="105">
        <v>4091899</v>
      </c>
      <c r="AJ39" s="732">
        <f t="shared" si="26"/>
        <v>100</v>
      </c>
    </row>
    <row r="40" spans="1:36" s="45" customFormat="1" ht="14.5" customHeight="1">
      <c r="A40" s="103"/>
      <c r="B40" s="271"/>
      <c r="C40" s="22"/>
      <c r="D40" s="22"/>
      <c r="E40" s="22"/>
      <c r="F40" s="694"/>
      <c r="G40" s="690"/>
      <c r="H40" s="689"/>
      <c r="I40" s="687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734"/>
    </row>
    <row r="41" spans="1:36" s="45" customFormat="1" ht="14.5" customHeight="1">
      <c r="A41" s="103"/>
      <c r="B41" s="271"/>
      <c r="C41" s="22"/>
      <c r="D41" s="22"/>
      <c r="E41" s="22"/>
      <c r="F41" s="20" t="s">
        <v>37</v>
      </c>
      <c r="G41" s="20"/>
      <c r="H41" s="4"/>
      <c r="I41" s="5"/>
      <c r="J41" s="101">
        <f>SUM(J36:J40)</f>
        <v>29149062</v>
      </c>
      <c r="K41" s="101">
        <f>SUM(K36:K40)</f>
        <v>0</v>
      </c>
      <c r="L41" s="101">
        <f>SUM(L36:L40)</f>
        <v>29149062</v>
      </c>
      <c r="M41" s="101">
        <f t="shared" ref="M41:T41" si="28">SUM(M36:M40)</f>
        <v>4091899</v>
      </c>
      <c r="N41" s="101">
        <f t="shared" si="28"/>
        <v>0</v>
      </c>
      <c r="O41" s="101">
        <f t="shared" si="28"/>
        <v>0</v>
      </c>
      <c r="P41" s="101">
        <f t="shared" si="28"/>
        <v>0</v>
      </c>
      <c r="Q41" s="101">
        <f t="shared" si="28"/>
        <v>0</v>
      </c>
      <c r="R41" s="101">
        <f t="shared" si="28"/>
        <v>1711612</v>
      </c>
      <c r="S41" s="101">
        <f t="shared" si="28"/>
        <v>5803511</v>
      </c>
      <c r="T41" s="101">
        <f t="shared" si="28"/>
        <v>34952573</v>
      </c>
      <c r="U41" s="101"/>
      <c r="V41" s="101">
        <f t="shared" ref="V41" si="29">SUM(V36:V40)</f>
        <v>1060000</v>
      </c>
      <c r="W41" s="101"/>
      <c r="X41" s="101"/>
      <c r="Y41" s="101">
        <f t="shared" ref="Y41:AA41" si="30">SUM(Y36:Y40)</f>
        <v>2402951</v>
      </c>
      <c r="Z41" s="101">
        <f t="shared" si="30"/>
        <v>3462951</v>
      </c>
      <c r="AA41" s="101">
        <f t="shared" si="30"/>
        <v>38415524</v>
      </c>
      <c r="AB41" s="101"/>
      <c r="AC41" s="101">
        <f t="shared" ref="AC41" si="31">SUM(AC36:AC40)</f>
        <v>-537408</v>
      </c>
      <c r="AD41" s="101"/>
      <c r="AE41" s="101"/>
      <c r="AF41" s="101">
        <f t="shared" ref="AF41:AI41" si="32">SUM(AF36:AF40)</f>
        <v>1747429</v>
      </c>
      <c r="AG41" s="101">
        <f t="shared" si="32"/>
        <v>1210021</v>
      </c>
      <c r="AH41" s="101">
        <f t="shared" si="32"/>
        <v>39625545</v>
      </c>
      <c r="AI41" s="101">
        <f t="shared" si="32"/>
        <v>39703662</v>
      </c>
      <c r="AJ41" s="733">
        <f>AI41/AH41*100</f>
        <v>100.19713798258169</v>
      </c>
    </row>
    <row r="42" spans="1:36" s="45" customFormat="1" ht="14.5" customHeight="1">
      <c r="A42" s="103"/>
      <c r="B42" s="271"/>
      <c r="C42" s="22"/>
      <c r="D42" s="22"/>
      <c r="E42" s="22"/>
      <c r="F42" s="6"/>
      <c r="G42" s="6"/>
      <c r="H42" s="7"/>
      <c r="I42" s="8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734"/>
    </row>
    <row r="43" spans="1:36" s="45" customFormat="1" ht="14.5" customHeight="1">
      <c r="A43" s="103">
        <v>5</v>
      </c>
      <c r="B43" s="271"/>
      <c r="C43" s="22"/>
      <c r="D43" s="22"/>
      <c r="E43" s="22"/>
      <c r="F43" s="690" t="s">
        <v>26</v>
      </c>
      <c r="H43" s="689"/>
      <c r="I43" s="684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732"/>
    </row>
    <row r="44" spans="1:36" s="45" customFormat="1" ht="14.5" customHeight="1">
      <c r="A44" s="103"/>
      <c r="B44" s="271"/>
      <c r="C44" s="22">
        <v>1</v>
      </c>
      <c r="D44" s="22">
        <v>4</v>
      </c>
      <c r="E44" s="22" t="s">
        <v>199</v>
      </c>
      <c r="F44" s="272"/>
      <c r="G44" s="690"/>
      <c r="H44" s="689" t="s">
        <v>285</v>
      </c>
      <c r="I44" s="684"/>
      <c r="J44" s="105">
        <v>13624040</v>
      </c>
      <c r="K44" s="105"/>
      <c r="L44" s="105">
        <f>SUM(J44:K44)</f>
        <v>13624040</v>
      </c>
      <c r="M44" s="105"/>
      <c r="N44" s="105"/>
      <c r="O44" s="105"/>
      <c r="P44" s="105"/>
      <c r="Q44" s="105"/>
      <c r="R44" s="105"/>
      <c r="S44" s="105">
        <f t="shared" ref="S44:S46" si="33">SUM(M44:R44)</f>
        <v>0</v>
      </c>
      <c r="T44" s="105">
        <f t="shared" ref="T44:T46" si="34">S44+L44</f>
        <v>13624040</v>
      </c>
      <c r="U44" s="105"/>
      <c r="V44" s="105">
        <v>803000</v>
      </c>
      <c r="W44" s="105"/>
      <c r="X44" s="105"/>
      <c r="Y44" s="105"/>
      <c r="Z44" s="105">
        <f>SUM(U44:Y44)</f>
        <v>803000</v>
      </c>
      <c r="AA44" s="105">
        <f>Z44+T44</f>
        <v>14427040</v>
      </c>
      <c r="AB44" s="105"/>
      <c r="AC44" s="105">
        <v>343724</v>
      </c>
      <c r="AD44" s="105"/>
      <c r="AE44" s="105"/>
      <c r="AG44" s="105">
        <f>SUM(AB44:AF44)</f>
        <v>343724</v>
      </c>
      <c r="AH44" s="105">
        <f>AG44+AA44</f>
        <v>14770764</v>
      </c>
      <c r="AI44" s="105">
        <v>14770764</v>
      </c>
      <c r="AJ44" s="732">
        <f t="shared" ref="AJ44:AJ46" si="35">AI44/AH44*100</f>
        <v>100</v>
      </c>
    </row>
    <row r="45" spans="1:36" s="45" customFormat="1" ht="14.5" customHeight="1">
      <c r="A45" s="103"/>
      <c r="B45" s="271"/>
      <c r="C45" s="22">
        <v>3</v>
      </c>
      <c r="D45" s="22">
        <v>1</v>
      </c>
      <c r="E45" s="22" t="s">
        <v>199</v>
      </c>
      <c r="F45" s="272"/>
      <c r="G45" s="690"/>
      <c r="H45" s="689" t="s">
        <v>239</v>
      </c>
      <c r="I45" s="684"/>
      <c r="J45" s="105">
        <v>2215175</v>
      </c>
      <c r="K45" s="105"/>
      <c r="L45" s="105">
        <f>SUM(J45:K45)</f>
        <v>2215175</v>
      </c>
      <c r="M45" s="105"/>
      <c r="N45" s="105"/>
      <c r="O45" s="105"/>
      <c r="P45" s="105"/>
      <c r="Q45" s="105"/>
      <c r="R45" s="105">
        <v>2035604</v>
      </c>
      <c r="S45" s="105">
        <f t="shared" si="33"/>
        <v>2035604</v>
      </c>
      <c r="T45" s="105">
        <f t="shared" si="34"/>
        <v>4250779</v>
      </c>
      <c r="U45" s="105"/>
      <c r="V45" s="105"/>
      <c r="W45" s="105"/>
      <c r="X45" s="105"/>
      <c r="Y45" s="105">
        <v>1150411</v>
      </c>
      <c r="Z45" s="105">
        <f>SUM(U45:Y45)</f>
        <v>1150411</v>
      </c>
      <c r="AA45" s="105">
        <f>Z45+T45</f>
        <v>5401190</v>
      </c>
      <c r="AB45" s="105"/>
      <c r="AC45" s="105"/>
      <c r="AD45" s="105"/>
      <c r="AE45" s="105"/>
      <c r="AF45" s="105">
        <f>551840+533448+550222</f>
        <v>1635510</v>
      </c>
      <c r="AG45" s="105">
        <f>SUM(AB45:AF45)</f>
        <v>1635510</v>
      </c>
      <c r="AH45" s="105">
        <f t="shared" ref="AH45:AH46" si="36">AG45+AA45</f>
        <v>7036700</v>
      </c>
      <c r="AI45" s="105">
        <v>7036700</v>
      </c>
      <c r="AJ45" s="732">
        <f t="shared" si="35"/>
        <v>100</v>
      </c>
    </row>
    <row r="46" spans="1:36" s="45" customFormat="1" ht="14.5" customHeight="1">
      <c r="A46" s="103"/>
      <c r="B46" s="271"/>
      <c r="C46" s="22">
        <v>8</v>
      </c>
      <c r="D46" s="22">
        <v>8</v>
      </c>
      <c r="E46" s="22" t="s">
        <v>199</v>
      </c>
      <c r="F46" s="689"/>
      <c r="G46" s="690"/>
      <c r="H46" s="689" t="s">
        <v>539</v>
      </c>
      <c r="I46" s="684"/>
      <c r="J46" s="105"/>
      <c r="K46" s="105"/>
      <c r="L46" s="105"/>
      <c r="M46" s="105">
        <v>11579010</v>
      </c>
      <c r="N46" s="105"/>
      <c r="O46" s="105"/>
      <c r="P46" s="105"/>
      <c r="Q46" s="105"/>
      <c r="R46" s="105"/>
      <c r="S46" s="105">
        <f t="shared" si="33"/>
        <v>11579010</v>
      </c>
      <c r="T46" s="105">
        <f t="shared" si="34"/>
        <v>11579010</v>
      </c>
      <c r="U46" s="105"/>
      <c r="V46" s="105"/>
      <c r="W46" s="105"/>
      <c r="X46" s="105"/>
      <c r="Y46" s="105"/>
      <c r="Z46" s="105">
        <f>SUM(U46:Y46)</f>
        <v>0</v>
      </c>
      <c r="AA46" s="105">
        <f>Z46+T46</f>
        <v>11579010</v>
      </c>
      <c r="AB46" s="105"/>
      <c r="AC46" s="105"/>
      <c r="AD46" s="105"/>
      <c r="AE46" s="105"/>
      <c r="AF46" s="105"/>
      <c r="AG46" s="105">
        <f t="shared" ref="AG46" si="37">SUM(AB46:AF46)</f>
        <v>0</v>
      </c>
      <c r="AH46" s="105">
        <f t="shared" si="36"/>
        <v>11579010</v>
      </c>
      <c r="AI46" s="105">
        <v>11579010</v>
      </c>
      <c r="AJ46" s="732">
        <f t="shared" si="35"/>
        <v>100</v>
      </c>
    </row>
    <row r="47" spans="1:36" s="45" customFormat="1" ht="14.5" customHeight="1">
      <c r="A47" s="103"/>
      <c r="B47" s="271"/>
      <c r="C47" s="22"/>
      <c r="D47" s="22"/>
      <c r="E47" s="22"/>
      <c r="F47" s="272"/>
      <c r="G47" s="690"/>
      <c r="H47" s="689"/>
      <c r="I47" s="684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732"/>
    </row>
    <row r="48" spans="1:36" s="45" customFormat="1" ht="14.5" customHeight="1">
      <c r="A48" s="103"/>
      <c r="B48" s="271"/>
      <c r="C48" s="22"/>
      <c r="D48" s="22"/>
      <c r="E48" s="22"/>
      <c r="F48" s="20" t="s">
        <v>37</v>
      </c>
      <c r="G48" s="20"/>
      <c r="H48" s="4"/>
      <c r="I48" s="5"/>
      <c r="J48" s="101">
        <f>SUM(J44:J47)</f>
        <v>15839215</v>
      </c>
      <c r="K48" s="101"/>
      <c r="L48" s="101">
        <f>SUM(L44:L47)</f>
        <v>15839215</v>
      </c>
      <c r="M48" s="101">
        <f t="shared" ref="M48:T48" si="38">SUM(M44:M47)</f>
        <v>11579010</v>
      </c>
      <c r="N48" s="101">
        <f t="shared" si="38"/>
        <v>0</v>
      </c>
      <c r="O48" s="101">
        <f t="shared" si="38"/>
        <v>0</v>
      </c>
      <c r="P48" s="101">
        <f t="shared" si="38"/>
        <v>0</v>
      </c>
      <c r="Q48" s="101">
        <f t="shared" si="38"/>
        <v>0</v>
      </c>
      <c r="R48" s="101">
        <f t="shared" si="38"/>
        <v>2035604</v>
      </c>
      <c r="S48" s="101">
        <f t="shared" si="38"/>
        <v>13614614</v>
      </c>
      <c r="T48" s="101">
        <f t="shared" si="38"/>
        <v>29453829</v>
      </c>
      <c r="U48" s="101"/>
      <c r="V48" s="101">
        <f t="shared" ref="V48" si="39">SUM(V44:V47)</f>
        <v>803000</v>
      </c>
      <c r="W48" s="101"/>
      <c r="X48" s="101"/>
      <c r="Y48" s="101">
        <f t="shared" ref="Y48:AA48" si="40">SUM(Y44:Y47)</f>
        <v>1150411</v>
      </c>
      <c r="Z48" s="101">
        <f t="shared" si="40"/>
        <v>1953411</v>
      </c>
      <c r="AA48" s="101">
        <f t="shared" si="40"/>
        <v>31407240</v>
      </c>
      <c r="AB48" s="101"/>
      <c r="AC48" s="101">
        <f t="shared" ref="AC48" si="41">SUM(AC44:AC47)</f>
        <v>343724</v>
      </c>
      <c r="AD48" s="101"/>
      <c r="AE48" s="101"/>
      <c r="AF48" s="101">
        <f>SUM(AF45:AF47)</f>
        <v>1635510</v>
      </c>
      <c r="AG48" s="101">
        <f t="shared" ref="AG48:AI48" si="42">SUM(AG44:AG47)</f>
        <v>1979234</v>
      </c>
      <c r="AH48" s="101">
        <f t="shared" si="42"/>
        <v>33386474</v>
      </c>
      <c r="AI48" s="101">
        <f t="shared" si="42"/>
        <v>33386474</v>
      </c>
      <c r="AJ48" s="733">
        <f>AI48/AH48*100</f>
        <v>100</v>
      </c>
    </row>
    <row r="49" spans="1:36" s="45" customFormat="1" ht="20" customHeight="1">
      <c r="A49" s="103"/>
      <c r="B49" s="271"/>
      <c r="C49" s="22"/>
      <c r="D49" s="22"/>
      <c r="E49" s="22"/>
      <c r="F49" s="689"/>
      <c r="G49" s="690"/>
      <c r="H49" s="689"/>
      <c r="I49" s="687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734"/>
    </row>
    <row r="50" spans="1:36" s="45" customFormat="1" ht="14.5" customHeight="1">
      <c r="A50" s="103">
        <v>6</v>
      </c>
      <c r="B50" s="271"/>
      <c r="C50" s="22"/>
      <c r="D50" s="22"/>
      <c r="E50" s="22"/>
      <c r="F50" s="690" t="s">
        <v>163</v>
      </c>
      <c r="H50" s="689"/>
      <c r="I50" s="684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732"/>
    </row>
    <row r="51" spans="1:36" s="45" customFormat="1" ht="14.5" customHeight="1">
      <c r="A51" s="103"/>
      <c r="B51" s="271"/>
      <c r="C51" s="22">
        <v>1</v>
      </c>
      <c r="D51" s="22">
        <v>4</v>
      </c>
      <c r="E51" s="22" t="s">
        <v>199</v>
      </c>
      <c r="F51" s="272"/>
      <c r="G51" s="690"/>
      <c r="H51" s="689" t="s">
        <v>285</v>
      </c>
      <c r="I51" s="684"/>
      <c r="J51" s="105">
        <v>22835393</v>
      </c>
      <c r="K51" s="105"/>
      <c r="L51" s="105">
        <f>SUM(J51:K51)</f>
        <v>22835393</v>
      </c>
      <c r="M51" s="105"/>
      <c r="N51" s="105"/>
      <c r="O51" s="105"/>
      <c r="P51" s="105"/>
      <c r="Q51" s="105"/>
      <c r="R51" s="105"/>
      <c r="S51" s="105">
        <f t="shared" ref="S51:S53" si="43">SUM(M51:R51)</f>
        <v>0</v>
      </c>
      <c r="T51" s="105">
        <f t="shared" ref="T51:T53" si="44">S51+L51</f>
        <v>22835393</v>
      </c>
      <c r="U51" s="105"/>
      <c r="V51" s="105">
        <v>1160000</v>
      </c>
      <c r="W51" s="105"/>
      <c r="X51" s="105"/>
      <c r="Y51" s="105"/>
      <c r="Z51" s="105">
        <f>SUM(U51:Y51)</f>
        <v>1160000</v>
      </c>
      <c r="AA51" s="105">
        <f>Z51+T51</f>
        <v>23995393</v>
      </c>
      <c r="AB51" s="105"/>
      <c r="AC51" s="105"/>
      <c r="AD51" s="105"/>
      <c r="AE51" s="105"/>
      <c r="AF51" s="105"/>
      <c r="AG51" s="105">
        <f>SUM(AB51:AF51)</f>
        <v>0</v>
      </c>
      <c r="AH51" s="105">
        <f>AG51+AA51</f>
        <v>23995393</v>
      </c>
      <c r="AI51" s="105">
        <v>22579620</v>
      </c>
      <c r="AJ51" s="732">
        <f t="shared" ref="AJ51:AJ53" si="45">AI51/AH51*100</f>
        <v>94.099813243317172</v>
      </c>
    </row>
    <row r="52" spans="1:36" s="45" customFormat="1" ht="14.5" customHeight="1">
      <c r="A52" s="103"/>
      <c r="B52" s="271"/>
      <c r="C52" s="22">
        <v>3</v>
      </c>
      <c r="D52" s="22">
        <v>1</v>
      </c>
      <c r="E52" s="22" t="s">
        <v>199</v>
      </c>
      <c r="F52" s="272"/>
      <c r="G52" s="690"/>
      <c r="H52" s="689" t="s">
        <v>239</v>
      </c>
      <c r="I52" s="684"/>
      <c r="J52" s="105">
        <v>2458766</v>
      </c>
      <c r="K52" s="105"/>
      <c r="L52" s="105">
        <f>SUM(J52:K52)</f>
        <v>2458766</v>
      </c>
      <c r="M52" s="105"/>
      <c r="N52" s="105"/>
      <c r="O52" s="105"/>
      <c r="P52" s="105"/>
      <c r="Q52" s="105"/>
      <c r="R52" s="105">
        <v>1263409</v>
      </c>
      <c r="S52" s="105">
        <f t="shared" si="43"/>
        <v>1263409</v>
      </c>
      <c r="T52" s="105">
        <f t="shared" si="44"/>
        <v>3722175</v>
      </c>
      <c r="U52" s="105"/>
      <c r="V52" s="105"/>
      <c r="W52" s="105"/>
      <c r="X52" s="105"/>
      <c r="Y52" s="105">
        <v>1231082</v>
      </c>
      <c r="Z52" s="105">
        <f>SUM(U52:Y52)</f>
        <v>1231082</v>
      </c>
      <c r="AA52" s="105">
        <f>Z52+T52</f>
        <v>4953257</v>
      </c>
      <c r="AB52" s="105"/>
      <c r="AC52" s="105"/>
      <c r="AD52" s="105"/>
      <c r="AE52" s="105"/>
      <c r="AF52" s="105">
        <f>448750+1400710+268925</f>
        <v>2118385</v>
      </c>
      <c r="AG52" s="105">
        <f>SUM(AB52:AF52)</f>
        <v>2118385</v>
      </c>
      <c r="AH52" s="105">
        <f t="shared" ref="AH52:AH53" si="46">AG52+AA52</f>
        <v>7071642</v>
      </c>
      <c r="AI52" s="105">
        <v>7065328</v>
      </c>
      <c r="AJ52" s="732">
        <f t="shared" si="45"/>
        <v>99.910713805930783</v>
      </c>
    </row>
    <row r="53" spans="1:36" s="45" customFormat="1" ht="14.5" customHeight="1">
      <c r="A53" s="103"/>
      <c r="B53" s="271"/>
      <c r="C53" s="22">
        <v>8</v>
      </c>
      <c r="D53" s="22">
        <v>8</v>
      </c>
      <c r="E53" s="22" t="s">
        <v>199</v>
      </c>
      <c r="F53" s="689"/>
      <c r="G53" s="690"/>
      <c r="H53" s="689" t="s">
        <v>539</v>
      </c>
      <c r="I53" s="684"/>
      <c r="J53" s="105"/>
      <c r="K53" s="105"/>
      <c r="L53" s="105"/>
      <c r="M53" s="105">
        <v>18548020</v>
      </c>
      <c r="N53" s="105"/>
      <c r="O53" s="105"/>
      <c r="P53" s="105"/>
      <c r="Q53" s="105"/>
      <c r="R53" s="105"/>
      <c r="S53" s="105">
        <f t="shared" si="43"/>
        <v>18548020</v>
      </c>
      <c r="T53" s="105">
        <f t="shared" si="44"/>
        <v>18548020</v>
      </c>
      <c r="U53" s="105"/>
      <c r="V53" s="105"/>
      <c r="W53" s="105"/>
      <c r="X53" s="105"/>
      <c r="Y53" s="105"/>
      <c r="Z53" s="105">
        <f>SUM(U53:Y53)</f>
        <v>0</v>
      </c>
      <c r="AA53" s="105">
        <f>Z53+T53</f>
        <v>18548020</v>
      </c>
      <c r="AB53" s="105"/>
      <c r="AC53" s="105"/>
      <c r="AD53" s="105"/>
      <c r="AE53" s="105"/>
      <c r="AF53" s="105"/>
      <c r="AG53" s="105">
        <f>SUM(AB53:AF53)</f>
        <v>0</v>
      </c>
      <c r="AH53" s="105">
        <f t="shared" si="46"/>
        <v>18548020</v>
      </c>
      <c r="AI53" s="105">
        <v>18548020</v>
      </c>
      <c r="AJ53" s="732">
        <f t="shared" si="45"/>
        <v>100</v>
      </c>
    </row>
    <row r="54" spans="1:36" s="45" customFormat="1" ht="14.5" customHeight="1">
      <c r="A54" s="103"/>
      <c r="B54" s="271"/>
      <c r="C54" s="22"/>
      <c r="D54" s="22"/>
      <c r="E54" s="22"/>
      <c r="F54" s="272"/>
      <c r="G54" s="690"/>
      <c r="H54" s="689"/>
      <c r="I54" s="684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732"/>
    </row>
    <row r="55" spans="1:36" s="45" customFormat="1" ht="14.5" customHeight="1">
      <c r="A55" s="103"/>
      <c r="B55" s="271"/>
      <c r="C55" s="22"/>
      <c r="D55" s="22"/>
      <c r="E55" s="22"/>
      <c r="F55" s="20" t="s">
        <v>37</v>
      </c>
      <c r="G55" s="20"/>
      <c r="H55" s="4"/>
      <c r="I55" s="5"/>
      <c r="J55" s="101">
        <f>SUM(J51:J54)</f>
        <v>25294159</v>
      </c>
      <c r="K55" s="101"/>
      <c r="L55" s="101">
        <f>SUM(L51:L54)</f>
        <v>25294159</v>
      </c>
      <c r="M55" s="101">
        <f t="shared" ref="M55:T55" si="47">SUM(M51:M54)</f>
        <v>18548020</v>
      </c>
      <c r="N55" s="101">
        <f t="shared" si="47"/>
        <v>0</v>
      </c>
      <c r="O55" s="101">
        <f t="shared" si="47"/>
        <v>0</v>
      </c>
      <c r="P55" s="101">
        <f t="shared" si="47"/>
        <v>0</v>
      </c>
      <c r="Q55" s="101">
        <f t="shared" si="47"/>
        <v>0</v>
      </c>
      <c r="R55" s="101">
        <f t="shared" si="47"/>
        <v>1263409</v>
      </c>
      <c r="S55" s="101">
        <f t="shared" si="47"/>
        <v>19811429</v>
      </c>
      <c r="T55" s="101">
        <f t="shared" si="47"/>
        <v>45105588</v>
      </c>
      <c r="U55" s="101"/>
      <c r="V55" s="101">
        <f t="shared" ref="V55" si="48">SUM(V51:V54)</f>
        <v>1160000</v>
      </c>
      <c r="W55" s="101"/>
      <c r="X55" s="101"/>
      <c r="Y55" s="101">
        <f t="shared" ref="Y55:AA55" si="49">SUM(Y51:Y54)</f>
        <v>1231082</v>
      </c>
      <c r="Z55" s="101">
        <f t="shared" si="49"/>
        <v>2391082</v>
      </c>
      <c r="AA55" s="101">
        <f t="shared" si="49"/>
        <v>47496670</v>
      </c>
      <c r="AB55" s="101"/>
      <c r="AC55" s="101">
        <f t="shared" ref="AC55" si="50">SUM(AC51:AC54)</f>
        <v>0</v>
      </c>
      <c r="AD55" s="101"/>
      <c r="AE55" s="101"/>
      <c r="AF55" s="101">
        <f t="shared" ref="AF55:AI55" si="51">SUM(AF51:AF54)</f>
        <v>2118385</v>
      </c>
      <c r="AG55" s="101">
        <f t="shared" si="51"/>
        <v>2118385</v>
      </c>
      <c r="AH55" s="101">
        <f t="shared" si="51"/>
        <v>49615055</v>
      </c>
      <c r="AI55" s="101">
        <f t="shared" si="51"/>
        <v>48192968</v>
      </c>
      <c r="AJ55" s="733">
        <f>AI55/AH55*100</f>
        <v>97.133759097918968</v>
      </c>
    </row>
    <row r="56" spans="1:36" s="45" customFormat="1" ht="14">
      <c r="A56" s="103"/>
      <c r="B56" s="271"/>
      <c r="C56" s="22"/>
      <c r="D56" s="22"/>
      <c r="E56" s="22"/>
      <c r="F56" s="6"/>
      <c r="G56" s="6"/>
      <c r="H56" s="7"/>
      <c r="I56" s="8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734"/>
    </row>
    <row r="57" spans="1:36" s="45" customFormat="1" ht="14">
      <c r="A57" s="103">
        <v>7</v>
      </c>
      <c r="B57" s="271"/>
      <c r="C57" s="22"/>
      <c r="D57" s="22"/>
      <c r="E57" s="22"/>
      <c r="F57" s="690" t="s">
        <v>195</v>
      </c>
      <c r="H57" s="7"/>
      <c r="I57" s="8"/>
      <c r="J57" s="46"/>
      <c r="K57" s="46"/>
      <c r="L57" s="46"/>
      <c r="M57" s="46"/>
      <c r="N57" s="46"/>
      <c r="O57" s="46"/>
      <c r="P57" s="46"/>
      <c r="Q57" s="46"/>
      <c r="R57" s="46"/>
      <c r="S57" s="105"/>
      <c r="T57" s="105"/>
      <c r="U57" s="46"/>
      <c r="V57" s="46"/>
      <c r="W57" s="46"/>
      <c r="X57" s="46"/>
      <c r="Y57" s="46"/>
      <c r="Z57" s="105"/>
      <c r="AA57" s="105"/>
      <c r="AB57" s="46"/>
      <c r="AC57" s="46"/>
      <c r="AD57" s="46"/>
      <c r="AE57" s="46"/>
      <c r="AF57" s="46"/>
      <c r="AG57" s="105"/>
      <c r="AH57" s="105"/>
      <c r="AI57" s="105"/>
      <c r="AJ57" s="732"/>
    </row>
    <row r="58" spans="1:36" s="45" customFormat="1" ht="14">
      <c r="A58" s="103"/>
      <c r="B58" s="271"/>
      <c r="C58" s="22">
        <v>1</v>
      </c>
      <c r="D58" s="22">
        <v>4</v>
      </c>
      <c r="E58" s="22" t="s">
        <v>199</v>
      </c>
      <c r="F58" s="272"/>
      <c r="G58" s="690"/>
      <c r="H58" s="689" t="s">
        <v>285</v>
      </c>
      <c r="I58" s="684"/>
      <c r="J58" s="105">
        <v>89000545</v>
      </c>
      <c r="K58" s="105"/>
      <c r="L58" s="105">
        <f>SUM(J58:K58)</f>
        <v>89000545</v>
      </c>
      <c r="M58" s="105"/>
      <c r="N58" s="105"/>
      <c r="O58" s="105"/>
      <c r="P58" s="105"/>
      <c r="Q58" s="105"/>
      <c r="R58" s="105"/>
      <c r="S58" s="105">
        <f t="shared" ref="S58:S63" si="52">SUM(M58:R58)</f>
        <v>0</v>
      </c>
      <c r="T58" s="105">
        <f t="shared" ref="T58:T63" si="53">S58+L58</f>
        <v>89000545</v>
      </c>
      <c r="U58" s="105"/>
      <c r="V58" s="105">
        <v>147000</v>
      </c>
      <c r="W58" s="105"/>
      <c r="X58" s="105"/>
      <c r="Y58" s="105"/>
      <c r="Z58" s="105">
        <f>SUM(U58:Y58)</f>
        <v>147000</v>
      </c>
      <c r="AA58" s="105">
        <f>Z58+T58</f>
        <v>89147545</v>
      </c>
      <c r="AB58" s="105"/>
      <c r="AC58" s="105">
        <f>528315+390876</f>
        <v>919191</v>
      </c>
      <c r="AD58" s="105"/>
      <c r="AE58" s="105"/>
      <c r="AF58" s="105"/>
      <c r="AG58" s="105">
        <f>SUM(AB58:AF58)</f>
        <v>919191</v>
      </c>
      <c r="AH58" s="105">
        <f>AG58+AA58</f>
        <v>90066736</v>
      </c>
      <c r="AI58" s="105">
        <v>90066736</v>
      </c>
      <c r="AJ58" s="732">
        <f t="shared" ref="AJ58:AJ63" si="54">AI58/AH58*100</f>
        <v>100</v>
      </c>
    </row>
    <row r="59" spans="1:36" s="45" customFormat="1" ht="14">
      <c r="A59" s="273"/>
      <c r="B59" s="274"/>
      <c r="C59" s="155">
        <v>2</v>
      </c>
      <c r="D59" s="155">
        <v>6</v>
      </c>
      <c r="E59" s="155" t="s">
        <v>198</v>
      </c>
      <c r="F59" s="646"/>
      <c r="G59" s="690"/>
      <c r="H59" s="689" t="s">
        <v>252</v>
      </c>
      <c r="I59" s="684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>
        <v>287350</v>
      </c>
      <c r="Z59" s="105">
        <f>SUM(U59:Y59)</f>
        <v>287350</v>
      </c>
      <c r="AA59" s="105">
        <f>Z59+T59</f>
        <v>287350</v>
      </c>
      <c r="AB59" s="156"/>
      <c r="AC59" s="156"/>
      <c r="AD59" s="156"/>
      <c r="AE59" s="156"/>
      <c r="AF59" s="156">
        <v>263405</v>
      </c>
      <c r="AG59" s="105">
        <f>SUM(AB59:AF59)</f>
        <v>263405</v>
      </c>
      <c r="AH59" s="105">
        <f t="shared" ref="AH59:AH63" si="55">AG59+AA59</f>
        <v>550755</v>
      </c>
      <c r="AI59" s="105">
        <v>550755</v>
      </c>
      <c r="AJ59" s="732">
        <f t="shared" si="54"/>
        <v>100</v>
      </c>
    </row>
    <row r="60" spans="1:36" s="45" customFormat="1" ht="14">
      <c r="A60" s="103"/>
      <c r="B60" s="271"/>
      <c r="C60" s="22">
        <v>3</v>
      </c>
      <c r="D60" s="22">
        <v>1</v>
      </c>
      <c r="E60" s="22" t="s">
        <v>199</v>
      </c>
      <c r="F60" s="272"/>
      <c r="G60" s="690"/>
      <c r="H60" s="689" t="s">
        <v>239</v>
      </c>
      <c r="I60" s="684"/>
      <c r="J60" s="105">
        <v>2191737</v>
      </c>
      <c r="K60" s="105"/>
      <c r="L60" s="105">
        <f>SUM(J60:K60)</f>
        <v>2191737</v>
      </c>
      <c r="M60" s="105"/>
      <c r="N60" s="105"/>
      <c r="O60" s="105"/>
      <c r="P60" s="105"/>
      <c r="Q60" s="105"/>
      <c r="R60" s="105">
        <v>4498216</v>
      </c>
      <c r="S60" s="105">
        <f t="shared" si="52"/>
        <v>4498216</v>
      </c>
      <c r="T60" s="105">
        <f t="shared" si="53"/>
        <v>6689953</v>
      </c>
      <c r="U60" s="105"/>
      <c r="V60" s="105">
        <v>204832</v>
      </c>
      <c r="W60" s="105"/>
      <c r="X60" s="105"/>
      <c r="Y60" s="105">
        <v>6326784</v>
      </c>
      <c r="Z60" s="105">
        <f>SUM(U60:Y60)</f>
        <v>6531616</v>
      </c>
      <c r="AA60" s="105">
        <f>Z60+T60</f>
        <v>13221569</v>
      </c>
      <c r="AB60" s="105"/>
      <c r="AC60" s="105"/>
      <c r="AD60" s="105"/>
      <c r="AE60" s="105"/>
      <c r="AF60" s="105">
        <f>3301235+1091912+6117169</f>
        <v>10510316</v>
      </c>
      <c r="AG60" s="105">
        <f>SUM(AB60:AF60)</f>
        <v>10510316</v>
      </c>
      <c r="AH60" s="105">
        <f t="shared" si="55"/>
        <v>23731885</v>
      </c>
      <c r="AI60" s="105">
        <v>23731885</v>
      </c>
      <c r="AJ60" s="732">
        <f t="shared" si="54"/>
        <v>100</v>
      </c>
    </row>
    <row r="61" spans="1:36" s="45" customFormat="1" ht="14">
      <c r="A61" s="273"/>
      <c r="B61" s="274"/>
      <c r="C61" s="155">
        <v>7</v>
      </c>
      <c r="D61" s="155">
        <v>5</v>
      </c>
      <c r="E61" s="155" t="s">
        <v>199</v>
      </c>
      <c r="F61" s="689"/>
      <c r="G61" s="690"/>
      <c r="H61" s="689" t="s">
        <v>643</v>
      </c>
      <c r="I61" s="684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05">
        <f t="shared" si="55"/>
        <v>0</v>
      </c>
      <c r="AI61" s="156">
        <v>33071</v>
      </c>
      <c r="AJ61" s="732"/>
    </row>
    <row r="62" spans="1:36" s="45" customFormat="1" ht="14">
      <c r="A62" s="103"/>
      <c r="B62" s="271"/>
      <c r="C62" s="22">
        <v>8</v>
      </c>
      <c r="D62" s="22">
        <v>8</v>
      </c>
      <c r="E62" s="22" t="s">
        <v>199</v>
      </c>
      <c r="F62" s="689"/>
      <c r="G62" s="690"/>
      <c r="H62" s="689" t="s">
        <v>539</v>
      </c>
      <c r="I62" s="684"/>
      <c r="J62" s="105"/>
      <c r="K62" s="105"/>
      <c r="L62" s="105"/>
      <c r="M62" s="105">
        <v>82681754</v>
      </c>
      <c r="N62" s="105"/>
      <c r="O62" s="105"/>
      <c r="P62" s="105"/>
      <c r="Q62" s="105"/>
      <c r="R62" s="105"/>
      <c r="S62" s="105">
        <f t="shared" si="52"/>
        <v>82681754</v>
      </c>
      <c r="T62" s="105">
        <f t="shared" si="53"/>
        <v>82681754</v>
      </c>
      <c r="U62" s="105"/>
      <c r="V62" s="105"/>
      <c r="W62" s="105"/>
      <c r="X62" s="105"/>
      <c r="Y62" s="105"/>
      <c r="Z62" s="105">
        <f>SUM(U62:Y62)</f>
        <v>0</v>
      </c>
      <c r="AA62" s="105">
        <f>Z62+T62</f>
        <v>82681754</v>
      </c>
      <c r="AB62" s="105"/>
      <c r="AC62" s="105"/>
      <c r="AD62" s="105"/>
      <c r="AE62" s="105"/>
      <c r="AF62" s="105"/>
      <c r="AG62" s="105">
        <f>SUM(AB62:AF62)</f>
        <v>0</v>
      </c>
      <c r="AH62" s="105">
        <f t="shared" si="55"/>
        <v>82681754</v>
      </c>
      <c r="AI62" s="105">
        <v>82681754</v>
      </c>
      <c r="AJ62" s="732">
        <f t="shared" si="54"/>
        <v>100</v>
      </c>
    </row>
    <row r="63" spans="1:36" s="45" customFormat="1" ht="14">
      <c r="A63" s="103"/>
      <c r="B63" s="271"/>
      <c r="C63" s="22">
        <v>8</v>
      </c>
      <c r="D63" s="22">
        <v>8</v>
      </c>
      <c r="E63" s="22" t="s">
        <v>198</v>
      </c>
      <c r="F63" s="689"/>
      <c r="G63" s="690"/>
      <c r="H63" s="689" t="s">
        <v>539</v>
      </c>
      <c r="I63" s="684"/>
      <c r="J63" s="105"/>
      <c r="K63" s="105"/>
      <c r="L63" s="105"/>
      <c r="M63" s="105">
        <v>4640355</v>
      </c>
      <c r="N63" s="105"/>
      <c r="O63" s="105"/>
      <c r="P63" s="105"/>
      <c r="Q63" s="105"/>
      <c r="R63" s="105"/>
      <c r="S63" s="105">
        <f t="shared" si="52"/>
        <v>4640355</v>
      </c>
      <c r="T63" s="105">
        <f t="shared" si="53"/>
        <v>4640355</v>
      </c>
      <c r="U63" s="105"/>
      <c r="V63" s="105"/>
      <c r="W63" s="105"/>
      <c r="X63" s="105"/>
      <c r="Y63" s="105"/>
      <c r="Z63" s="105">
        <f>SUM(U63:Y63)</f>
        <v>0</v>
      </c>
      <c r="AA63" s="105">
        <f>Z63+T63</f>
        <v>4640355</v>
      </c>
      <c r="AB63" s="105"/>
      <c r="AC63" s="105"/>
      <c r="AD63" s="105"/>
      <c r="AE63" s="105"/>
      <c r="AF63" s="105"/>
      <c r="AG63" s="105">
        <f>SUM(AB63:AF63)</f>
        <v>0</v>
      </c>
      <c r="AH63" s="105">
        <f t="shared" si="55"/>
        <v>4640355</v>
      </c>
      <c r="AI63" s="105">
        <v>4640355</v>
      </c>
      <c r="AJ63" s="732">
        <f t="shared" si="54"/>
        <v>100</v>
      </c>
    </row>
    <row r="64" spans="1:36" s="45" customFormat="1" ht="8.5" customHeight="1">
      <c r="A64" s="103"/>
      <c r="B64" s="271"/>
      <c r="C64" s="22"/>
      <c r="D64" s="22"/>
      <c r="E64" s="22"/>
      <c r="F64" s="272"/>
      <c r="G64" s="690"/>
      <c r="H64" s="689"/>
      <c r="I64" s="684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732"/>
    </row>
    <row r="65" spans="1:36" s="45" customFormat="1" ht="14">
      <c r="A65" s="103"/>
      <c r="B65" s="271"/>
      <c r="C65" s="22"/>
      <c r="D65" s="22"/>
      <c r="E65" s="22"/>
      <c r="F65" s="20" t="s">
        <v>37</v>
      </c>
      <c r="G65" s="20"/>
      <c r="H65" s="4"/>
      <c r="I65" s="5"/>
      <c r="J65" s="101">
        <f>SUM(J58:J64)</f>
        <v>91192282</v>
      </c>
      <c r="K65" s="101"/>
      <c r="L65" s="101">
        <f>SUM(L58:L64)</f>
        <v>91192282</v>
      </c>
      <c r="M65" s="101">
        <f t="shared" ref="M65:T65" si="56">SUM(M58:M64)</f>
        <v>87322109</v>
      </c>
      <c r="N65" s="101">
        <f t="shared" si="56"/>
        <v>0</v>
      </c>
      <c r="O65" s="101">
        <f t="shared" si="56"/>
        <v>0</v>
      </c>
      <c r="P65" s="101">
        <f t="shared" si="56"/>
        <v>0</v>
      </c>
      <c r="Q65" s="101">
        <f t="shared" si="56"/>
        <v>0</v>
      </c>
      <c r="R65" s="101">
        <f t="shared" si="56"/>
        <v>4498216</v>
      </c>
      <c r="S65" s="101">
        <f t="shared" si="56"/>
        <v>91820325</v>
      </c>
      <c r="T65" s="101">
        <f t="shared" si="56"/>
        <v>183012607</v>
      </c>
      <c r="U65" s="101"/>
      <c r="V65" s="101">
        <f t="shared" ref="V65" si="57">SUM(V58:V64)</f>
        <v>351832</v>
      </c>
      <c r="W65" s="101"/>
      <c r="X65" s="101"/>
      <c r="Y65" s="101">
        <f t="shared" ref="Y65:AA65" si="58">SUM(Y58:Y64)</f>
        <v>6614134</v>
      </c>
      <c r="Z65" s="101">
        <f t="shared" si="58"/>
        <v>6965966</v>
      </c>
      <c r="AA65" s="101">
        <f t="shared" si="58"/>
        <v>189978573</v>
      </c>
      <c r="AB65" s="101"/>
      <c r="AC65" s="101">
        <f t="shared" ref="AC65" si="59">SUM(AC58:AC64)</f>
        <v>919191</v>
      </c>
      <c r="AD65" s="101"/>
      <c r="AE65" s="101"/>
      <c r="AF65" s="101">
        <f t="shared" ref="AF65:AI65" si="60">SUM(AF58:AF64)</f>
        <v>10773721</v>
      </c>
      <c r="AG65" s="101">
        <f t="shared" si="60"/>
        <v>11692912</v>
      </c>
      <c r="AH65" s="101">
        <f t="shared" si="60"/>
        <v>201671485</v>
      </c>
      <c r="AI65" s="101">
        <f t="shared" si="60"/>
        <v>201704556</v>
      </c>
      <c r="AJ65" s="733">
        <f>AI65/AH65*100</f>
        <v>100.01639845117421</v>
      </c>
    </row>
    <row r="66" spans="1:36" s="45" customFormat="1" ht="14">
      <c r="A66" s="103"/>
      <c r="B66" s="271"/>
      <c r="C66" s="22"/>
      <c r="D66" s="22"/>
      <c r="E66" s="22"/>
      <c r="F66" s="6"/>
      <c r="G66" s="6"/>
      <c r="H66" s="7"/>
      <c r="I66" s="8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734"/>
    </row>
    <row r="67" spans="1:36" s="45" customFormat="1" ht="14.5" customHeight="1">
      <c r="A67" s="103">
        <v>8</v>
      </c>
      <c r="B67" s="271"/>
      <c r="C67" s="22"/>
      <c r="D67" s="22"/>
      <c r="E67" s="22"/>
      <c r="F67" s="690" t="s">
        <v>164</v>
      </c>
      <c r="H67" s="7"/>
      <c r="I67" s="8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734"/>
    </row>
    <row r="68" spans="1:36" s="45" customFormat="1" ht="14.5" customHeight="1">
      <c r="A68" s="103"/>
      <c r="B68" s="271"/>
      <c r="C68" s="22">
        <v>1</v>
      </c>
      <c r="D68" s="22">
        <v>4</v>
      </c>
      <c r="E68" s="22" t="s">
        <v>199</v>
      </c>
      <c r="F68" s="272"/>
      <c r="G68" s="690"/>
      <c r="H68" s="689" t="s">
        <v>285</v>
      </c>
      <c r="I68" s="684"/>
      <c r="J68" s="105">
        <v>150000000</v>
      </c>
      <c r="K68" s="105"/>
      <c r="L68" s="105">
        <f>SUM(J68:K68)</f>
        <v>150000000</v>
      </c>
      <c r="M68" s="105"/>
      <c r="N68" s="105"/>
      <c r="O68" s="105"/>
      <c r="P68" s="105"/>
      <c r="Q68" s="105"/>
      <c r="R68" s="105"/>
      <c r="S68" s="105">
        <f t="shared" ref="S68:S73" si="61">SUM(M68:R68)</f>
        <v>0</v>
      </c>
      <c r="T68" s="105">
        <f t="shared" ref="T68:T73" si="62">S68+L68</f>
        <v>150000000</v>
      </c>
      <c r="U68" s="105"/>
      <c r="V68" s="105"/>
      <c r="W68" s="105"/>
      <c r="X68" s="105"/>
      <c r="Y68" s="105"/>
      <c r="Z68" s="105">
        <f>SUM(U68:Y68)</f>
        <v>0</v>
      </c>
      <c r="AA68" s="105">
        <f>Z68+T68</f>
        <v>150000000</v>
      </c>
      <c r="AB68" s="105"/>
      <c r="AC68" s="105">
        <f>20307000+2189037</f>
        <v>22496037</v>
      </c>
      <c r="AD68" s="105"/>
      <c r="AE68" s="105"/>
      <c r="AF68" s="105"/>
      <c r="AG68" s="105">
        <f>SUM(AB68:AF68)</f>
        <v>22496037</v>
      </c>
      <c r="AH68" s="105">
        <f>AG68+AA68</f>
        <v>172496037</v>
      </c>
      <c r="AI68" s="105">
        <v>172496037</v>
      </c>
      <c r="AJ68" s="732">
        <f t="shared" ref="AJ68:AJ73" si="63">AI68/AH68*100</f>
        <v>100</v>
      </c>
    </row>
    <row r="69" spans="1:36" s="45" customFormat="1" ht="14.5" customHeight="1">
      <c r="A69" s="103"/>
      <c r="B69" s="271"/>
      <c r="C69" s="22">
        <v>2</v>
      </c>
      <c r="D69" s="22">
        <v>6</v>
      </c>
      <c r="E69" s="22" t="s">
        <v>199</v>
      </c>
      <c r="F69" s="272"/>
      <c r="G69" s="690"/>
      <c r="H69" s="689" t="s">
        <v>252</v>
      </c>
      <c r="I69" s="684"/>
      <c r="J69" s="105">
        <v>54000000</v>
      </c>
      <c r="K69" s="105"/>
      <c r="L69" s="105">
        <f>SUM(J69:K69)</f>
        <v>54000000</v>
      </c>
      <c r="M69" s="105"/>
      <c r="N69" s="105"/>
      <c r="O69" s="105"/>
      <c r="P69" s="105"/>
      <c r="Q69" s="105"/>
      <c r="R69" s="105"/>
      <c r="S69" s="105">
        <f t="shared" si="61"/>
        <v>0</v>
      </c>
      <c r="T69" s="105">
        <f t="shared" si="62"/>
        <v>54000000</v>
      </c>
      <c r="U69" s="105"/>
      <c r="V69" s="105"/>
      <c r="W69" s="105"/>
      <c r="X69" s="105"/>
      <c r="Y69" s="105"/>
      <c r="Z69" s="105">
        <f>SUM(U69:Y69)</f>
        <v>0</v>
      </c>
      <c r="AA69" s="105">
        <f>Z69+T69</f>
        <v>54000000</v>
      </c>
      <c r="AB69" s="105"/>
      <c r="AC69" s="105"/>
      <c r="AD69" s="105"/>
      <c r="AE69" s="105"/>
      <c r="AF69" s="105">
        <v>5365688</v>
      </c>
      <c r="AG69" s="105">
        <f t="shared" ref="AG69:AG73" si="64">SUM(AB69:AF69)</f>
        <v>5365688</v>
      </c>
      <c r="AH69" s="105">
        <f t="shared" ref="AH69:AH73" si="65">AG69+AA69</f>
        <v>59365688</v>
      </c>
      <c r="AI69" s="105">
        <v>59365688</v>
      </c>
      <c r="AJ69" s="732">
        <f t="shared" si="63"/>
        <v>100</v>
      </c>
    </row>
    <row r="70" spans="1:36" s="45" customFormat="1" ht="14.5" customHeight="1">
      <c r="A70" s="103"/>
      <c r="B70" s="271"/>
      <c r="C70" s="22">
        <v>3</v>
      </c>
      <c r="D70" s="22">
        <v>1</v>
      </c>
      <c r="E70" s="22" t="s">
        <v>199</v>
      </c>
      <c r="F70" s="272"/>
      <c r="G70" s="690"/>
      <c r="H70" s="689" t="s">
        <v>239</v>
      </c>
      <c r="I70" s="684"/>
      <c r="J70" s="105"/>
      <c r="K70" s="105"/>
      <c r="L70" s="105">
        <f>SUM(J70:K70)</f>
        <v>0</v>
      </c>
      <c r="M70" s="105"/>
      <c r="N70" s="105"/>
      <c r="O70" s="105"/>
      <c r="P70" s="105"/>
      <c r="Q70" s="105"/>
      <c r="R70" s="105">
        <v>27410000</v>
      </c>
      <c r="S70" s="105">
        <f t="shared" si="61"/>
        <v>27410000</v>
      </c>
      <c r="T70" s="105">
        <f t="shared" si="62"/>
        <v>27410000</v>
      </c>
      <c r="U70" s="105"/>
      <c r="V70" s="105"/>
      <c r="W70" s="105"/>
      <c r="X70" s="105"/>
      <c r="Y70" s="105">
        <v>7000000</v>
      </c>
      <c r="Z70" s="105">
        <f>SUM(U70:Y70)</f>
        <v>7000000</v>
      </c>
      <c r="AA70" s="105">
        <f>Z70+T70</f>
        <v>34410000</v>
      </c>
      <c r="AB70" s="105"/>
      <c r="AC70" s="105"/>
      <c r="AD70" s="105"/>
      <c r="AE70" s="105"/>
      <c r="AF70" s="105">
        <v>3976300</v>
      </c>
      <c r="AG70" s="105">
        <f t="shared" si="64"/>
        <v>3976300</v>
      </c>
      <c r="AH70" s="105">
        <f t="shared" si="65"/>
        <v>38386300</v>
      </c>
      <c r="AI70" s="105">
        <v>38386300</v>
      </c>
      <c r="AJ70" s="732">
        <f t="shared" si="63"/>
        <v>100</v>
      </c>
    </row>
    <row r="71" spans="1:36" s="45" customFormat="1" ht="14.5" customHeight="1">
      <c r="A71" s="273"/>
      <c r="B71" s="274"/>
      <c r="C71" s="155">
        <v>6</v>
      </c>
      <c r="D71" s="155">
        <v>2</v>
      </c>
      <c r="E71" s="155" t="s">
        <v>199</v>
      </c>
      <c r="F71" s="689"/>
      <c r="G71" s="690"/>
      <c r="H71" s="689" t="s">
        <v>454</v>
      </c>
      <c r="I71" s="684"/>
      <c r="J71" s="156"/>
      <c r="K71" s="156"/>
      <c r="L71" s="156"/>
      <c r="M71" s="156"/>
      <c r="N71" s="156"/>
      <c r="O71" s="156"/>
      <c r="P71" s="156"/>
      <c r="Q71" s="156"/>
      <c r="R71" s="156">
        <v>3000000</v>
      </c>
      <c r="S71" s="105">
        <f t="shared" ref="S71" si="66">SUM(M71:R71)</f>
        <v>3000000</v>
      </c>
      <c r="T71" s="105">
        <f t="shared" ref="T71" si="67">S71+L71</f>
        <v>3000000</v>
      </c>
      <c r="U71" s="156"/>
      <c r="V71" s="156"/>
      <c r="W71" s="156"/>
      <c r="X71" s="156"/>
      <c r="Y71" s="156"/>
      <c r="Z71" s="105">
        <f>SUM(U71:Y71)</f>
        <v>0</v>
      </c>
      <c r="AA71" s="105">
        <f>Z71+T71</f>
        <v>3000000</v>
      </c>
      <c r="AB71" s="156"/>
      <c r="AC71" s="156"/>
      <c r="AD71" s="156"/>
      <c r="AE71" s="156"/>
      <c r="AF71" s="156"/>
      <c r="AG71" s="105">
        <f>SUM(AB71:AF71)</f>
        <v>0</v>
      </c>
      <c r="AH71" s="105">
        <f>AG71+AA71</f>
        <v>3000000</v>
      </c>
      <c r="AI71" s="105">
        <v>3000000</v>
      </c>
      <c r="AJ71" s="732">
        <f t="shared" si="63"/>
        <v>100</v>
      </c>
    </row>
    <row r="72" spans="1:36" s="45" customFormat="1" ht="14.5" customHeight="1">
      <c r="A72" s="273"/>
      <c r="B72" s="274"/>
      <c r="C72" s="155">
        <v>7</v>
      </c>
      <c r="D72" s="155">
        <v>5</v>
      </c>
      <c r="E72" s="155" t="s">
        <v>199</v>
      </c>
      <c r="F72" s="713"/>
      <c r="G72" s="714"/>
      <c r="H72" s="713" t="s">
        <v>643</v>
      </c>
      <c r="I72" s="710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>
        <v>390000</v>
      </c>
      <c r="AD72" s="156"/>
      <c r="AE72" s="156"/>
      <c r="AF72" s="156"/>
      <c r="AG72" s="105">
        <f t="shared" si="64"/>
        <v>390000</v>
      </c>
      <c r="AH72" s="105">
        <f t="shared" si="65"/>
        <v>390000</v>
      </c>
      <c r="AI72" s="156">
        <v>390000</v>
      </c>
      <c r="AJ72" s="732">
        <f t="shared" si="63"/>
        <v>100</v>
      </c>
    </row>
    <row r="73" spans="1:36" s="45" customFormat="1" ht="14.5" customHeight="1">
      <c r="A73" s="103"/>
      <c r="B73" s="271"/>
      <c r="C73" s="22">
        <v>8</v>
      </c>
      <c r="D73" s="22">
        <v>8</v>
      </c>
      <c r="E73" s="22" t="s">
        <v>199</v>
      </c>
      <c r="F73" s="689"/>
      <c r="G73" s="690"/>
      <c r="H73" s="689" t="s">
        <v>539</v>
      </c>
      <c r="I73" s="684"/>
      <c r="J73" s="105"/>
      <c r="K73" s="105"/>
      <c r="L73" s="105"/>
      <c r="M73" s="105">
        <v>16213586</v>
      </c>
      <c r="N73" s="105"/>
      <c r="O73" s="105"/>
      <c r="P73" s="105"/>
      <c r="Q73" s="105"/>
      <c r="R73" s="105"/>
      <c r="S73" s="105">
        <f t="shared" si="61"/>
        <v>16213586</v>
      </c>
      <c r="T73" s="105">
        <f t="shared" si="62"/>
        <v>16213586</v>
      </c>
      <c r="U73" s="105"/>
      <c r="V73" s="105"/>
      <c r="W73" s="105"/>
      <c r="X73" s="105"/>
      <c r="Y73" s="105"/>
      <c r="Z73" s="105">
        <f>SUM(U73:Y73)</f>
        <v>0</v>
      </c>
      <c r="AA73" s="105">
        <f>Z73+T73</f>
        <v>16213586</v>
      </c>
      <c r="AB73" s="105"/>
      <c r="AC73" s="105"/>
      <c r="AD73" s="105"/>
      <c r="AE73" s="105"/>
      <c r="AF73" s="105"/>
      <c r="AG73" s="105">
        <f t="shared" si="64"/>
        <v>0</v>
      </c>
      <c r="AH73" s="105">
        <f t="shared" si="65"/>
        <v>16213586</v>
      </c>
      <c r="AI73" s="105">
        <v>16213586</v>
      </c>
      <c r="AJ73" s="732">
        <f t="shared" si="63"/>
        <v>100</v>
      </c>
    </row>
    <row r="74" spans="1:36" s="45" customFormat="1" ht="14.5" customHeight="1">
      <c r="A74" s="103"/>
      <c r="B74" s="271"/>
      <c r="C74" s="22"/>
      <c r="D74" s="22"/>
      <c r="E74" s="22"/>
      <c r="F74" s="272"/>
      <c r="G74" s="690"/>
      <c r="H74" s="689"/>
      <c r="I74" s="684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732"/>
    </row>
    <row r="75" spans="1:36" s="45" customFormat="1" ht="14">
      <c r="A75" s="103"/>
      <c r="B75" s="271"/>
      <c r="C75" s="22"/>
      <c r="D75" s="22"/>
      <c r="E75" s="22"/>
      <c r="F75" s="20" t="s">
        <v>37</v>
      </c>
      <c r="G75" s="20"/>
      <c r="H75" s="4"/>
      <c r="I75" s="5"/>
      <c r="J75" s="101">
        <f t="shared" ref="J75:T75" si="68">SUM(J68:J74)</f>
        <v>204000000</v>
      </c>
      <c r="K75" s="101">
        <f t="shared" si="68"/>
        <v>0</v>
      </c>
      <c r="L75" s="101">
        <f t="shared" si="68"/>
        <v>204000000</v>
      </c>
      <c r="M75" s="101">
        <f t="shared" si="68"/>
        <v>16213586</v>
      </c>
      <c r="N75" s="101">
        <f t="shared" si="68"/>
        <v>0</v>
      </c>
      <c r="O75" s="101">
        <f t="shared" si="68"/>
        <v>0</v>
      </c>
      <c r="P75" s="101">
        <f t="shared" si="68"/>
        <v>0</v>
      </c>
      <c r="Q75" s="101">
        <f t="shared" si="68"/>
        <v>0</v>
      </c>
      <c r="R75" s="101">
        <f t="shared" si="68"/>
        <v>30410000</v>
      </c>
      <c r="S75" s="101">
        <f t="shared" si="68"/>
        <v>46623586</v>
      </c>
      <c r="T75" s="101">
        <f t="shared" si="68"/>
        <v>250623586</v>
      </c>
      <c r="U75" s="101"/>
      <c r="V75" s="101"/>
      <c r="W75" s="101"/>
      <c r="X75" s="101"/>
      <c r="Y75" s="101">
        <f>SUM(Y68:Y74)</f>
        <v>7000000</v>
      </c>
      <c r="Z75" s="101">
        <f>SUM(Z68:Z74)</f>
        <v>7000000</v>
      </c>
      <c r="AA75" s="101">
        <f>SUM(AA68:AA74)</f>
        <v>257623586</v>
      </c>
      <c r="AB75" s="101">
        <f>SUM(AB68:AB74)</f>
        <v>0</v>
      </c>
      <c r="AC75" s="101">
        <f>SUM(AC68:AC74)</f>
        <v>22886037</v>
      </c>
      <c r="AD75" s="101"/>
      <c r="AE75" s="101"/>
      <c r="AF75" s="101">
        <f>SUM(AF68:AF74)</f>
        <v>9341988</v>
      </c>
      <c r="AG75" s="101">
        <f>SUM(AG68:AG74)</f>
        <v>32228025</v>
      </c>
      <c r="AH75" s="101">
        <f>SUM(AH68:AH74)</f>
        <v>289851611</v>
      </c>
      <c r="AI75" s="101">
        <f>SUM(AI68:AI74)</f>
        <v>289851611</v>
      </c>
      <c r="AJ75" s="733">
        <f>AI75/AH75*100</f>
        <v>100</v>
      </c>
    </row>
    <row r="76" spans="1:36" s="45" customFormat="1" ht="14">
      <c r="A76" s="103"/>
      <c r="B76" s="271"/>
      <c r="C76" s="22"/>
      <c r="D76" s="22"/>
      <c r="E76" s="22"/>
      <c r="F76" s="6"/>
      <c r="G76" s="6"/>
      <c r="H76" s="7"/>
      <c r="I76" s="8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734"/>
    </row>
    <row r="77" spans="1:36" s="45" customFormat="1" ht="14">
      <c r="A77" s="103">
        <v>9</v>
      </c>
      <c r="B77" s="271"/>
      <c r="C77" s="22"/>
      <c r="D77" s="22"/>
      <c r="E77" s="22"/>
      <c r="F77" s="690" t="s">
        <v>165</v>
      </c>
      <c r="H77" s="7"/>
      <c r="I77" s="8"/>
      <c r="J77" s="46"/>
      <c r="K77" s="46"/>
      <c r="L77" s="46"/>
      <c r="M77" s="46"/>
      <c r="N77" s="46"/>
      <c r="O77" s="46"/>
      <c r="P77" s="46"/>
      <c r="Q77" s="46"/>
      <c r="R77" s="46"/>
      <c r="S77" s="105"/>
      <c r="T77" s="105"/>
      <c r="U77" s="46"/>
      <c r="V77" s="46"/>
      <c r="W77" s="46"/>
      <c r="X77" s="46"/>
      <c r="Y77" s="46"/>
      <c r="Z77" s="105"/>
      <c r="AA77" s="105"/>
      <c r="AB77" s="46"/>
      <c r="AC77" s="46"/>
      <c r="AD77" s="46"/>
      <c r="AE77" s="46"/>
      <c r="AF77" s="46"/>
      <c r="AG77" s="105"/>
      <c r="AH77" s="105"/>
      <c r="AI77" s="105"/>
      <c r="AJ77" s="732"/>
    </row>
    <row r="78" spans="1:36" s="45" customFormat="1" ht="14">
      <c r="A78" s="103"/>
      <c r="B78" s="271"/>
      <c r="C78" s="22">
        <v>1</v>
      </c>
      <c r="D78" s="22">
        <v>4</v>
      </c>
      <c r="E78" s="22" t="s">
        <v>199</v>
      </c>
      <c r="F78" s="272"/>
      <c r="G78" s="690"/>
      <c r="H78" s="689" t="s">
        <v>285</v>
      </c>
      <c r="I78" s="684"/>
      <c r="J78" s="105">
        <v>23430000</v>
      </c>
      <c r="K78" s="105"/>
      <c r="L78" s="105">
        <f>SUM(J78:K78)</f>
        <v>23430000</v>
      </c>
      <c r="M78" s="105"/>
      <c r="N78" s="105"/>
      <c r="O78" s="105"/>
      <c r="P78" s="105"/>
      <c r="Q78" s="105"/>
      <c r="R78" s="105"/>
      <c r="S78" s="105">
        <f t="shared" ref="S78:S82" si="69">SUM(M78:R78)</f>
        <v>0</v>
      </c>
      <c r="T78" s="105">
        <f t="shared" ref="T78:T82" si="70">S78+L78</f>
        <v>23430000</v>
      </c>
      <c r="U78" s="105"/>
      <c r="V78" s="105"/>
      <c r="W78" s="105"/>
      <c r="X78" s="105"/>
      <c r="Y78" s="105"/>
      <c r="Z78" s="105">
        <f>SUM(U78:Y78)</f>
        <v>0</v>
      </c>
      <c r="AA78" s="105">
        <f>Z78+T78</f>
        <v>23430000</v>
      </c>
      <c r="AB78" s="105"/>
      <c r="AC78" s="105">
        <v>16630939</v>
      </c>
      <c r="AD78" s="105"/>
      <c r="AE78" s="105"/>
      <c r="AF78" s="105"/>
      <c r="AG78" s="105">
        <f>SUM(AB78:AF78)</f>
        <v>16630939</v>
      </c>
      <c r="AH78" s="105">
        <f>AG78+AA78</f>
        <v>40060939</v>
      </c>
      <c r="AI78" s="105">
        <v>40060939</v>
      </c>
      <c r="AJ78" s="732">
        <f t="shared" ref="AJ78:AJ82" si="71">AI78/AH78*100</f>
        <v>100</v>
      </c>
    </row>
    <row r="79" spans="1:36" s="45" customFormat="1" ht="14">
      <c r="A79" s="103"/>
      <c r="B79" s="271"/>
      <c r="C79" s="22">
        <v>2</v>
      </c>
      <c r="D79" s="22">
        <v>6</v>
      </c>
      <c r="E79" s="22" t="s">
        <v>199</v>
      </c>
      <c r="F79" s="276"/>
      <c r="G79" s="690"/>
      <c r="H79" s="689" t="s">
        <v>252</v>
      </c>
      <c r="I79" s="277"/>
      <c r="J79" s="105">
        <v>5000000</v>
      </c>
      <c r="K79" s="105"/>
      <c r="L79" s="105">
        <f>SUM(J79:K79)</f>
        <v>5000000</v>
      </c>
      <c r="M79" s="105"/>
      <c r="N79" s="105"/>
      <c r="O79" s="105"/>
      <c r="P79" s="105"/>
      <c r="Q79" s="105"/>
      <c r="R79" s="105"/>
      <c r="S79" s="105">
        <f t="shared" si="69"/>
        <v>0</v>
      </c>
      <c r="T79" s="105">
        <f t="shared" si="70"/>
        <v>5000000</v>
      </c>
      <c r="U79" s="105"/>
      <c r="V79" s="105"/>
      <c r="W79" s="105"/>
      <c r="X79" s="105"/>
      <c r="Y79" s="105"/>
      <c r="Z79" s="105">
        <f>SUM(U79:Y79)</f>
        <v>0</v>
      </c>
      <c r="AA79" s="105">
        <f>Z79+T79</f>
        <v>5000000</v>
      </c>
      <c r="AB79" s="105"/>
      <c r="AC79" s="105"/>
      <c r="AD79" s="105"/>
      <c r="AE79" s="105"/>
      <c r="AF79" s="105">
        <v>2400000</v>
      </c>
      <c r="AG79" s="105">
        <f>SUM(AB79:AF79)</f>
        <v>2400000</v>
      </c>
      <c r="AH79" s="105">
        <f t="shared" ref="AH79:AH82" si="72">AG79+AA79</f>
        <v>7400000</v>
      </c>
      <c r="AI79" s="105">
        <v>7400000</v>
      </c>
      <c r="AJ79" s="732">
        <f t="shared" si="71"/>
        <v>100</v>
      </c>
    </row>
    <row r="80" spans="1:36" s="45" customFormat="1" ht="14">
      <c r="A80" s="103"/>
      <c r="B80" s="271"/>
      <c r="C80" s="22">
        <v>3</v>
      </c>
      <c r="D80" s="22">
        <v>1</v>
      </c>
      <c r="E80" s="22" t="s">
        <v>199</v>
      </c>
      <c r="F80" s="272"/>
      <c r="G80" s="690"/>
      <c r="H80" s="689" t="s">
        <v>239</v>
      </c>
      <c r="I80" s="684"/>
      <c r="J80" s="105"/>
      <c r="K80" s="105"/>
      <c r="L80" s="105">
        <f>SUM(J80:K80)</f>
        <v>0</v>
      </c>
      <c r="M80" s="105"/>
      <c r="N80" s="105"/>
      <c r="O80" s="105"/>
      <c r="P80" s="105"/>
      <c r="Q80" s="105"/>
      <c r="R80" s="105">
        <v>95697704</v>
      </c>
      <c r="S80" s="105">
        <f t="shared" si="69"/>
        <v>95697704</v>
      </c>
      <c r="T80" s="105">
        <f t="shared" si="70"/>
        <v>95697704</v>
      </c>
      <c r="U80" s="105"/>
      <c r="V80" s="105"/>
      <c r="W80" s="105"/>
      <c r="X80" s="105"/>
      <c r="Y80" s="105">
        <v>800000</v>
      </c>
      <c r="Z80" s="105">
        <f>SUM(U80:Y80)</f>
        <v>800000</v>
      </c>
      <c r="AA80" s="105">
        <f>Z80+T80</f>
        <v>96497704</v>
      </c>
      <c r="AB80" s="105"/>
      <c r="AC80" s="105"/>
      <c r="AD80" s="105"/>
      <c r="AE80" s="105"/>
      <c r="AF80" s="105">
        <v>500000</v>
      </c>
      <c r="AG80" s="105">
        <f>SUM(AB80:AF80)</f>
        <v>500000</v>
      </c>
      <c r="AH80" s="105">
        <f t="shared" si="72"/>
        <v>96997704</v>
      </c>
      <c r="AI80" s="105">
        <v>96997704</v>
      </c>
      <c r="AJ80" s="732">
        <f t="shared" si="71"/>
        <v>100</v>
      </c>
    </row>
    <row r="81" spans="1:36" s="45" customFormat="1" ht="14">
      <c r="A81" s="273"/>
      <c r="B81" s="274"/>
      <c r="C81" s="155">
        <v>6</v>
      </c>
      <c r="D81" s="155">
        <v>2</v>
      </c>
      <c r="E81" s="155" t="s">
        <v>199</v>
      </c>
      <c r="F81" s="689"/>
      <c r="G81" s="690"/>
      <c r="H81" s="689" t="s">
        <v>454</v>
      </c>
      <c r="I81" s="684"/>
      <c r="J81" s="156"/>
      <c r="K81" s="156"/>
      <c r="L81" s="156"/>
      <c r="M81" s="156"/>
      <c r="N81" s="156"/>
      <c r="O81" s="156"/>
      <c r="P81" s="156"/>
      <c r="Q81" s="156"/>
      <c r="R81" s="156">
        <v>14270000</v>
      </c>
      <c r="S81" s="105">
        <f t="shared" si="69"/>
        <v>14270000</v>
      </c>
      <c r="T81" s="105">
        <f t="shared" si="70"/>
        <v>14270000</v>
      </c>
      <c r="U81" s="156"/>
      <c r="V81" s="156"/>
      <c r="W81" s="156"/>
      <c r="X81" s="156"/>
      <c r="Y81" s="156"/>
      <c r="Z81" s="105">
        <f>SUM(U81:Y81)</f>
        <v>0</v>
      </c>
      <c r="AA81" s="105">
        <f>Z81+T81</f>
        <v>14270000</v>
      </c>
      <c r="AB81" s="156"/>
      <c r="AC81" s="156"/>
      <c r="AD81" s="156"/>
      <c r="AE81" s="156"/>
      <c r="AF81" s="156"/>
      <c r="AG81" s="105">
        <f>SUM(AB81:AF81)</f>
        <v>0</v>
      </c>
      <c r="AH81" s="105">
        <f t="shared" si="72"/>
        <v>14270000</v>
      </c>
      <c r="AI81" s="105">
        <v>14270000</v>
      </c>
      <c r="AJ81" s="732">
        <f t="shared" si="71"/>
        <v>100</v>
      </c>
    </row>
    <row r="82" spans="1:36" s="45" customFormat="1" ht="14">
      <c r="A82" s="103"/>
      <c r="B82" s="271"/>
      <c r="C82" s="22">
        <v>8</v>
      </c>
      <c r="D82" s="22">
        <v>8</v>
      </c>
      <c r="E82" s="22" t="s">
        <v>199</v>
      </c>
      <c r="F82" s="689"/>
      <c r="G82" s="690"/>
      <c r="H82" s="689" t="s">
        <v>539</v>
      </c>
      <c r="I82" s="684"/>
      <c r="J82" s="105"/>
      <c r="K82" s="105"/>
      <c r="L82" s="105"/>
      <c r="M82" s="105">
        <v>6683020</v>
      </c>
      <c r="N82" s="105"/>
      <c r="O82" s="105"/>
      <c r="P82" s="105"/>
      <c r="Q82" s="105"/>
      <c r="R82" s="105"/>
      <c r="S82" s="105">
        <f t="shared" si="69"/>
        <v>6683020</v>
      </c>
      <c r="T82" s="105">
        <f t="shared" si="70"/>
        <v>6683020</v>
      </c>
      <c r="U82" s="105"/>
      <c r="V82" s="105"/>
      <c r="W82" s="105"/>
      <c r="X82" s="105"/>
      <c r="Y82" s="105"/>
      <c r="Z82" s="105">
        <f>SUM(U82:Y82)</f>
        <v>0</v>
      </c>
      <c r="AA82" s="105">
        <f>Z82+T82</f>
        <v>6683020</v>
      </c>
      <c r="AB82" s="105"/>
      <c r="AC82" s="105"/>
      <c r="AD82" s="105"/>
      <c r="AE82" s="105"/>
      <c r="AF82" s="105"/>
      <c r="AG82" s="105">
        <f>SUM(AB82:AF82)</f>
        <v>0</v>
      </c>
      <c r="AH82" s="105">
        <f t="shared" si="72"/>
        <v>6683020</v>
      </c>
      <c r="AI82" s="105">
        <v>6683020</v>
      </c>
      <c r="AJ82" s="732">
        <f t="shared" si="71"/>
        <v>100</v>
      </c>
    </row>
    <row r="83" spans="1:36" s="45" customFormat="1" ht="14">
      <c r="A83" s="103"/>
      <c r="B83" s="271"/>
      <c r="C83" s="22"/>
      <c r="D83" s="22"/>
      <c r="E83" s="22"/>
      <c r="F83" s="689"/>
      <c r="G83" s="690"/>
      <c r="H83" s="689"/>
      <c r="I83" s="684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732"/>
    </row>
    <row r="84" spans="1:36" s="45" customFormat="1" ht="14">
      <c r="A84" s="103"/>
      <c r="B84" s="271"/>
      <c r="C84" s="22"/>
      <c r="D84" s="22"/>
      <c r="E84" s="22"/>
      <c r="F84" s="20" t="s">
        <v>37</v>
      </c>
      <c r="G84" s="20"/>
      <c r="H84" s="4"/>
      <c r="I84" s="5"/>
      <c r="J84" s="101">
        <f>SUM(J78:J83)</f>
        <v>28430000</v>
      </c>
      <c r="K84" s="101">
        <f>SUM(K78:K83)</f>
        <v>0</v>
      </c>
      <c r="L84" s="101">
        <f>SUM(L78:L83)</f>
        <v>28430000</v>
      </c>
      <c r="M84" s="101">
        <f t="shared" ref="M84:T84" si="73">SUM(M78:M83)</f>
        <v>6683020</v>
      </c>
      <c r="N84" s="101">
        <f t="shared" si="73"/>
        <v>0</v>
      </c>
      <c r="O84" s="101">
        <f t="shared" si="73"/>
        <v>0</v>
      </c>
      <c r="P84" s="101">
        <f t="shared" si="73"/>
        <v>0</v>
      </c>
      <c r="Q84" s="101">
        <f t="shared" si="73"/>
        <v>0</v>
      </c>
      <c r="R84" s="101">
        <f t="shared" si="73"/>
        <v>109967704</v>
      </c>
      <c r="S84" s="101">
        <f t="shared" si="73"/>
        <v>116650724</v>
      </c>
      <c r="T84" s="101">
        <f t="shared" si="73"/>
        <v>145080724</v>
      </c>
      <c r="U84" s="101"/>
      <c r="V84" s="101"/>
      <c r="W84" s="101"/>
      <c r="X84" s="101"/>
      <c r="Y84" s="101">
        <f t="shared" ref="Y84:AI84" si="74">SUM(Y78:Y83)</f>
        <v>800000</v>
      </c>
      <c r="Z84" s="101">
        <f t="shared" si="74"/>
        <v>800000</v>
      </c>
      <c r="AA84" s="101">
        <f t="shared" si="74"/>
        <v>145880724</v>
      </c>
      <c r="AB84" s="101">
        <f t="shared" si="74"/>
        <v>0</v>
      </c>
      <c r="AC84" s="101">
        <f t="shared" si="74"/>
        <v>16630939</v>
      </c>
      <c r="AD84" s="101">
        <f t="shared" si="74"/>
        <v>0</v>
      </c>
      <c r="AE84" s="101">
        <f t="shared" si="74"/>
        <v>0</v>
      </c>
      <c r="AF84" s="101">
        <f t="shared" si="74"/>
        <v>2900000</v>
      </c>
      <c r="AG84" s="101">
        <f t="shared" si="74"/>
        <v>19530939</v>
      </c>
      <c r="AH84" s="101">
        <f t="shared" si="74"/>
        <v>165411663</v>
      </c>
      <c r="AI84" s="101">
        <f t="shared" si="74"/>
        <v>165411663</v>
      </c>
      <c r="AJ84" s="733">
        <f>AI84/AH84*100</f>
        <v>100</v>
      </c>
    </row>
    <row r="85" spans="1:36" s="45" customFormat="1" ht="14">
      <c r="A85" s="103"/>
      <c r="B85" s="271"/>
      <c r="C85" s="22"/>
      <c r="D85" s="22"/>
      <c r="E85" s="22"/>
      <c r="F85" s="272"/>
      <c r="G85" s="690"/>
      <c r="H85" s="689"/>
      <c r="I85" s="687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734"/>
    </row>
    <row r="86" spans="1:36" s="45" customFormat="1" ht="14">
      <c r="A86" s="103">
        <v>10</v>
      </c>
      <c r="B86" s="271"/>
      <c r="C86" s="22"/>
      <c r="D86" s="22"/>
      <c r="E86" s="22"/>
      <c r="F86" s="690" t="s">
        <v>137</v>
      </c>
      <c r="G86" s="693"/>
      <c r="H86" s="690"/>
      <c r="I86" s="689"/>
      <c r="J86" s="278"/>
      <c r="K86" s="278"/>
      <c r="L86" s="278"/>
      <c r="M86" s="278"/>
      <c r="N86" s="278"/>
      <c r="O86" s="278"/>
      <c r="P86" s="278"/>
      <c r="Q86" s="278"/>
      <c r="R86" s="278"/>
      <c r="S86" s="278"/>
      <c r="T86" s="278"/>
      <c r="U86" s="278"/>
      <c r="V86" s="278"/>
      <c r="W86" s="278"/>
      <c r="X86" s="278"/>
      <c r="Y86" s="278"/>
      <c r="Z86" s="278"/>
      <c r="AA86" s="278"/>
      <c r="AB86" s="278"/>
      <c r="AC86" s="278"/>
      <c r="AD86" s="278"/>
      <c r="AE86" s="278"/>
      <c r="AF86" s="278"/>
      <c r="AG86" s="278"/>
      <c r="AH86" s="278"/>
      <c r="AI86" s="278"/>
      <c r="AJ86" s="736"/>
    </row>
    <row r="87" spans="1:36" s="45" customFormat="1" ht="14">
      <c r="A87" s="103"/>
      <c r="B87" s="271"/>
      <c r="C87" s="22">
        <v>1</v>
      </c>
      <c r="D87" s="22">
        <v>4</v>
      </c>
      <c r="E87" s="22" t="s">
        <v>199</v>
      </c>
      <c r="F87" s="276"/>
      <c r="G87" s="690"/>
      <c r="H87" s="689" t="s">
        <v>285</v>
      </c>
      <c r="I87" s="277"/>
      <c r="J87" s="105">
        <v>370888000</v>
      </c>
      <c r="K87" s="105"/>
      <c r="L87" s="105">
        <f t="shared" ref="L87:L92" si="75">SUM(J87:K87)</f>
        <v>370888000</v>
      </c>
      <c r="M87" s="105"/>
      <c r="N87" s="105"/>
      <c r="O87" s="105"/>
      <c r="P87" s="105"/>
      <c r="Q87" s="105"/>
      <c r="R87" s="105"/>
      <c r="S87" s="105">
        <f t="shared" ref="S87:S96" si="76">SUM(M87:R87)</f>
        <v>0</v>
      </c>
      <c r="T87" s="105">
        <f t="shared" ref="T87:T96" si="77">S87+L87</f>
        <v>370888000</v>
      </c>
      <c r="U87" s="105"/>
      <c r="V87" s="105">
        <v>2390000</v>
      </c>
      <c r="W87" s="105"/>
      <c r="X87" s="105"/>
      <c r="Y87" s="105"/>
      <c r="Z87" s="105">
        <f t="shared" ref="Z87:Z93" si="78">SUM(U87:Y87)</f>
        <v>2390000</v>
      </c>
      <c r="AA87" s="105">
        <f t="shared" ref="AA87:AA93" si="79">Z87+T87</f>
        <v>373278000</v>
      </c>
      <c r="AB87" s="105"/>
      <c r="AC87" s="105">
        <f>15963307+27744425</f>
        <v>43707732</v>
      </c>
      <c r="AD87" s="105"/>
      <c r="AE87" s="105"/>
      <c r="AF87" s="105"/>
      <c r="AG87" s="105">
        <f t="shared" ref="AG87:AG93" si="80">SUM(AB87:AF87)</f>
        <v>43707732</v>
      </c>
      <c r="AH87" s="105">
        <f>AG87+AA87</f>
        <v>416985732</v>
      </c>
      <c r="AI87" s="105">
        <v>409395878</v>
      </c>
      <c r="AJ87" s="732">
        <f t="shared" ref="AJ87:AJ96" si="81">AI87/AH87*100</f>
        <v>98.179828848436472</v>
      </c>
    </row>
    <row r="88" spans="1:36" s="45" customFormat="1" ht="14">
      <c r="A88" s="103"/>
      <c r="B88" s="271"/>
      <c r="C88" s="22">
        <v>1</v>
      </c>
      <c r="D88" s="22">
        <v>4</v>
      </c>
      <c r="E88" s="22" t="s">
        <v>198</v>
      </c>
      <c r="F88" s="276"/>
      <c r="G88" s="690"/>
      <c r="H88" s="689" t="s">
        <v>285</v>
      </c>
      <c r="I88" s="277"/>
      <c r="J88" s="105">
        <v>8496000</v>
      </c>
      <c r="K88" s="105"/>
      <c r="L88" s="105">
        <f t="shared" si="75"/>
        <v>8496000</v>
      </c>
      <c r="M88" s="105"/>
      <c r="N88" s="105"/>
      <c r="O88" s="105"/>
      <c r="P88" s="105"/>
      <c r="Q88" s="105"/>
      <c r="R88" s="105"/>
      <c r="S88" s="105">
        <f t="shared" si="76"/>
        <v>0</v>
      </c>
      <c r="T88" s="105">
        <f t="shared" si="77"/>
        <v>8496000</v>
      </c>
      <c r="U88" s="105"/>
      <c r="V88" s="105"/>
      <c r="W88" s="105"/>
      <c r="X88" s="105"/>
      <c r="Y88" s="105"/>
      <c r="Z88" s="105">
        <f t="shared" si="78"/>
        <v>0</v>
      </c>
      <c r="AA88" s="105">
        <f t="shared" si="79"/>
        <v>8496000</v>
      </c>
      <c r="AB88" s="105"/>
      <c r="AC88" s="105"/>
      <c r="AD88" s="105"/>
      <c r="AE88" s="105"/>
      <c r="AF88" s="105"/>
      <c r="AG88" s="105">
        <f t="shared" si="80"/>
        <v>0</v>
      </c>
      <c r="AH88" s="105">
        <f>AG88+AA88</f>
        <v>8496000</v>
      </c>
      <c r="AI88" s="105">
        <v>7741961</v>
      </c>
      <c r="AJ88" s="732">
        <f t="shared" si="81"/>
        <v>91.12477636534841</v>
      </c>
    </row>
    <row r="89" spans="1:36" s="45" customFormat="1" ht="14">
      <c r="A89" s="103"/>
      <c r="B89" s="271"/>
      <c r="C89" s="22">
        <v>2</v>
      </c>
      <c r="D89" s="22">
        <v>6</v>
      </c>
      <c r="E89" s="22" t="s">
        <v>199</v>
      </c>
      <c r="F89" s="276"/>
      <c r="G89" s="690"/>
      <c r="H89" s="689" t="s">
        <v>252</v>
      </c>
      <c r="I89" s="277"/>
      <c r="J89" s="105"/>
      <c r="K89" s="105"/>
      <c r="L89" s="105">
        <f t="shared" si="75"/>
        <v>0</v>
      </c>
      <c r="M89" s="105"/>
      <c r="N89" s="105"/>
      <c r="O89" s="105"/>
      <c r="P89" s="105"/>
      <c r="Q89" s="105"/>
      <c r="R89" s="105"/>
      <c r="S89" s="105">
        <f t="shared" si="76"/>
        <v>0</v>
      </c>
      <c r="T89" s="105">
        <f t="shared" si="77"/>
        <v>0</v>
      </c>
      <c r="U89" s="105"/>
      <c r="V89" s="105"/>
      <c r="W89" s="105"/>
      <c r="X89" s="105"/>
      <c r="Y89" s="105"/>
      <c r="Z89" s="105">
        <f t="shared" si="78"/>
        <v>0</v>
      </c>
      <c r="AA89" s="105">
        <f t="shared" si="79"/>
        <v>0</v>
      </c>
      <c r="AB89" s="105"/>
      <c r="AC89" s="105"/>
      <c r="AD89" s="105"/>
      <c r="AE89" s="105"/>
      <c r="AF89" s="105"/>
      <c r="AG89" s="105">
        <f t="shared" si="80"/>
        <v>0</v>
      </c>
      <c r="AH89" s="105">
        <f t="shared" ref="AH89:AH96" si="82">AG89+AA89</f>
        <v>0</v>
      </c>
      <c r="AI89" s="105"/>
      <c r="AJ89" s="732"/>
    </row>
    <row r="90" spans="1:36" s="45" customFormat="1" ht="14">
      <c r="A90" s="103"/>
      <c r="B90" s="271"/>
      <c r="C90" s="22">
        <v>3</v>
      </c>
      <c r="D90" s="22">
        <v>1</v>
      </c>
      <c r="E90" s="22" t="s">
        <v>199</v>
      </c>
      <c r="F90" s="276"/>
      <c r="G90" s="690"/>
      <c r="H90" s="689" t="s">
        <v>239</v>
      </c>
      <c r="I90" s="277"/>
      <c r="J90" s="105">
        <v>644000</v>
      </c>
      <c r="K90" s="105"/>
      <c r="L90" s="105">
        <f t="shared" si="75"/>
        <v>644000</v>
      </c>
      <c r="M90" s="105"/>
      <c r="N90" s="105"/>
      <c r="O90" s="105"/>
      <c r="P90" s="105"/>
      <c r="Q90" s="105"/>
      <c r="R90" s="105">
        <v>2134536</v>
      </c>
      <c r="S90" s="105">
        <f t="shared" si="76"/>
        <v>2134536</v>
      </c>
      <c r="T90" s="105">
        <f t="shared" si="77"/>
        <v>2778536</v>
      </c>
      <c r="U90" s="105"/>
      <c r="V90" s="105"/>
      <c r="W90" s="105"/>
      <c r="X90" s="105"/>
      <c r="Y90" s="105">
        <v>2357386</v>
      </c>
      <c r="Z90" s="105">
        <f t="shared" si="78"/>
        <v>2357386</v>
      </c>
      <c r="AA90" s="105">
        <f t="shared" si="79"/>
        <v>5135922</v>
      </c>
      <c r="AB90" s="105"/>
      <c r="AC90" s="105"/>
      <c r="AD90" s="105"/>
      <c r="AE90" s="105"/>
      <c r="AF90" s="105">
        <f>402482+357916+26785</f>
        <v>787183</v>
      </c>
      <c r="AG90" s="105">
        <f t="shared" si="80"/>
        <v>787183</v>
      </c>
      <c r="AH90" s="105">
        <f t="shared" si="82"/>
        <v>5923105</v>
      </c>
      <c r="AI90" s="105">
        <v>5923105</v>
      </c>
      <c r="AJ90" s="732">
        <f t="shared" si="81"/>
        <v>100</v>
      </c>
    </row>
    <row r="91" spans="1:36" s="45" customFormat="1" ht="29.25" customHeight="1">
      <c r="A91" s="103"/>
      <c r="B91" s="271"/>
      <c r="C91" s="22">
        <v>4</v>
      </c>
      <c r="D91" s="22">
        <v>1</v>
      </c>
      <c r="E91" s="22" t="s">
        <v>199</v>
      </c>
      <c r="F91" s="276"/>
      <c r="G91" s="690"/>
      <c r="H91" s="858" t="s">
        <v>253</v>
      </c>
      <c r="I91" s="859"/>
      <c r="J91" s="105">
        <v>40883000</v>
      </c>
      <c r="K91" s="105"/>
      <c r="L91" s="105">
        <f t="shared" si="75"/>
        <v>40883000</v>
      </c>
      <c r="M91" s="105"/>
      <c r="N91" s="105"/>
      <c r="O91" s="105"/>
      <c r="P91" s="105"/>
      <c r="Q91" s="105"/>
      <c r="R91" s="105"/>
      <c r="S91" s="105">
        <f t="shared" si="76"/>
        <v>0</v>
      </c>
      <c r="T91" s="105">
        <f t="shared" si="77"/>
        <v>40883000</v>
      </c>
      <c r="U91" s="105"/>
      <c r="V91" s="105"/>
      <c r="W91" s="105"/>
      <c r="X91" s="105"/>
      <c r="Y91" s="105"/>
      <c r="Z91" s="105">
        <f t="shared" si="78"/>
        <v>0</v>
      </c>
      <c r="AA91" s="105">
        <f t="shared" si="79"/>
        <v>40883000</v>
      </c>
      <c r="AB91" s="105"/>
      <c r="AC91" s="105"/>
      <c r="AD91" s="105"/>
      <c r="AE91" s="105"/>
      <c r="AF91" s="105">
        <f>3907700+2364700+856900</f>
        <v>7129300</v>
      </c>
      <c r="AG91" s="105">
        <f t="shared" si="80"/>
        <v>7129300</v>
      </c>
      <c r="AH91" s="105">
        <f t="shared" si="82"/>
        <v>48012300</v>
      </c>
      <c r="AI91" s="105">
        <v>48012300</v>
      </c>
      <c r="AJ91" s="732">
        <f t="shared" si="81"/>
        <v>100</v>
      </c>
    </row>
    <row r="92" spans="1:36" s="45" customFormat="1" ht="29.25" customHeight="1">
      <c r="A92" s="103"/>
      <c r="B92" s="271"/>
      <c r="C92" s="22">
        <v>11</v>
      </c>
      <c r="D92" s="22">
        <v>2</v>
      </c>
      <c r="E92" s="22" t="s">
        <v>199</v>
      </c>
      <c r="F92" s="279"/>
      <c r="G92" s="690"/>
      <c r="H92" s="858" t="s">
        <v>453</v>
      </c>
      <c r="I92" s="859"/>
      <c r="J92" s="105"/>
      <c r="K92" s="105">
        <v>5417000</v>
      </c>
      <c r="L92" s="105">
        <f t="shared" si="75"/>
        <v>5417000</v>
      </c>
      <c r="M92" s="105"/>
      <c r="N92" s="105"/>
      <c r="O92" s="105"/>
      <c r="P92" s="105"/>
      <c r="Q92" s="105"/>
      <c r="R92" s="105"/>
      <c r="S92" s="105">
        <f t="shared" si="76"/>
        <v>0</v>
      </c>
      <c r="T92" s="105">
        <f t="shared" si="77"/>
        <v>5417000</v>
      </c>
      <c r="U92" s="105"/>
      <c r="V92" s="105"/>
      <c r="W92" s="105"/>
      <c r="X92" s="105"/>
      <c r="Y92" s="105"/>
      <c r="Z92" s="105">
        <f t="shared" si="78"/>
        <v>0</v>
      </c>
      <c r="AA92" s="105">
        <f t="shared" si="79"/>
        <v>5417000</v>
      </c>
      <c r="AB92" s="105"/>
      <c r="AC92" s="105"/>
      <c r="AD92" s="105"/>
      <c r="AE92" s="105"/>
      <c r="AF92" s="105"/>
      <c r="AG92" s="105">
        <f t="shared" si="80"/>
        <v>0</v>
      </c>
      <c r="AH92" s="105">
        <f t="shared" si="82"/>
        <v>5417000</v>
      </c>
      <c r="AI92" s="105">
        <v>5417000</v>
      </c>
      <c r="AJ92" s="732">
        <f t="shared" si="81"/>
        <v>100</v>
      </c>
    </row>
    <row r="93" spans="1:36" s="45" customFormat="1" ht="14">
      <c r="A93" s="103"/>
      <c r="B93" s="271"/>
      <c r="C93" s="22">
        <v>5</v>
      </c>
      <c r="D93" s="22">
        <v>7</v>
      </c>
      <c r="E93" s="22" t="s">
        <v>199</v>
      </c>
      <c r="F93" s="689"/>
      <c r="G93" s="690"/>
      <c r="H93" s="689" t="s">
        <v>268</v>
      </c>
      <c r="I93" s="684"/>
      <c r="J93" s="105"/>
      <c r="K93" s="105"/>
      <c r="L93" s="105"/>
      <c r="M93" s="105"/>
      <c r="N93" s="105"/>
      <c r="O93" s="105"/>
      <c r="P93" s="105"/>
      <c r="Q93" s="105"/>
      <c r="R93" s="105"/>
      <c r="S93" s="105">
        <f t="shared" si="76"/>
        <v>0</v>
      </c>
      <c r="T93" s="105">
        <f t="shared" si="77"/>
        <v>0</v>
      </c>
      <c r="U93" s="105"/>
      <c r="V93" s="105"/>
      <c r="W93" s="105"/>
      <c r="X93" s="105"/>
      <c r="Y93" s="105"/>
      <c r="Z93" s="105">
        <f t="shared" si="78"/>
        <v>0</v>
      </c>
      <c r="AA93" s="105">
        <f t="shared" si="79"/>
        <v>0</v>
      </c>
      <c r="AB93" s="105"/>
      <c r="AC93" s="105"/>
      <c r="AD93" s="105"/>
      <c r="AE93" s="105"/>
      <c r="AF93" s="105"/>
      <c r="AG93" s="105">
        <f t="shared" si="80"/>
        <v>0</v>
      </c>
      <c r="AH93" s="105">
        <f t="shared" si="82"/>
        <v>0</v>
      </c>
      <c r="AI93" s="105"/>
      <c r="AJ93" s="732"/>
    </row>
    <row r="94" spans="1:36" s="45" customFormat="1" ht="14">
      <c r="A94" s="273"/>
      <c r="B94" s="274"/>
      <c r="C94" s="155">
        <v>7</v>
      </c>
      <c r="D94" s="155">
        <v>5</v>
      </c>
      <c r="E94" s="155" t="s">
        <v>199</v>
      </c>
      <c r="F94" s="689"/>
      <c r="G94" s="690"/>
      <c r="H94" s="689" t="s">
        <v>643</v>
      </c>
      <c r="I94" s="684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05">
        <f t="shared" si="82"/>
        <v>0</v>
      </c>
      <c r="AI94" s="156">
        <v>343308</v>
      </c>
      <c r="AJ94" s="732"/>
    </row>
    <row r="95" spans="1:36" s="45" customFormat="1" ht="14">
      <c r="A95" s="103"/>
      <c r="B95" s="271"/>
      <c r="C95" s="22">
        <v>8</v>
      </c>
      <c r="D95" s="22">
        <v>8</v>
      </c>
      <c r="E95" s="22" t="s">
        <v>199</v>
      </c>
      <c r="F95" s="689"/>
      <c r="G95" s="690"/>
      <c r="H95" s="689" t="s">
        <v>539</v>
      </c>
      <c r="I95" s="684"/>
      <c r="J95" s="105"/>
      <c r="K95" s="105"/>
      <c r="L95" s="105"/>
      <c r="M95" s="105">
        <v>30291845</v>
      </c>
      <c r="N95" s="105"/>
      <c r="O95" s="105"/>
      <c r="P95" s="105"/>
      <c r="Q95" s="105"/>
      <c r="R95" s="105"/>
      <c r="S95" s="105">
        <f t="shared" si="76"/>
        <v>30291845</v>
      </c>
      <c r="T95" s="105">
        <f t="shared" si="77"/>
        <v>30291845</v>
      </c>
      <c r="U95" s="105"/>
      <c r="V95" s="105"/>
      <c r="W95" s="105"/>
      <c r="X95" s="105"/>
      <c r="Y95" s="105"/>
      <c r="Z95" s="105">
        <f>SUM(U95:Y95)</f>
        <v>0</v>
      </c>
      <c r="AA95" s="105">
        <f>Z95+T95</f>
        <v>30291845</v>
      </c>
      <c r="AB95" s="105"/>
      <c r="AC95" s="105"/>
      <c r="AD95" s="105"/>
      <c r="AE95" s="105"/>
      <c r="AF95" s="105"/>
      <c r="AG95" s="105">
        <f>SUM(AB95:AF95)</f>
        <v>0</v>
      </c>
      <c r="AH95" s="105">
        <f t="shared" si="82"/>
        <v>30291845</v>
      </c>
      <c r="AI95" s="105">
        <v>30291845</v>
      </c>
      <c r="AJ95" s="732">
        <f t="shared" si="81"/>
        <v>100</v>
      </c>
    </row>
    <row r="96" spans="1:36" s="45" customFormat="1" ht="14">
      <c r="A96" s="103"/>
      <c r="B96" s="271"/>
      <c r="C96" s="22">
        <v>8</v>
      </c>
      <c r="D96" s="22">
        <v>8</v>
      </c>
      <c r="E96" s="22" t="s">
        <v>198</v>
      </c>
      <c r="F96" s="689"/>
      <c r="G96" s="690"/>
      <c r="H96" s="689" t="s">
        <v>539</v>
      </c>
      <c r="I96" s="684"/>
      <c r="J96" s="105"/>
      <c r="K96" s="105"/>
      <c r="L96" s="105"/>
      <c r="M96" s="105">
        <v>2027750</v>
      </c>
      <c r="N96" s="105"/>
      <c r="O96" s="105"/>
      <c r="P96" s="105"/>
      <c r="Q96" s="105"/>
      <c r="R96" s="105"/>
      <c r="S96" s="105">
        <f t="shared" si="76"/>
        <v>2027750</v>
      </c>
      <c r="T96" s="105">
        <f t="shared" si="77"/>
        <v>2027750</v>
      </c>
      <c r="U96" s="105"/>
      <c r="V96" s="105"/>
      <c r="W96" s="105"/>
      <c r="X96" s="105"/>
      <c r="Y96" s="105"/>
      <c r="Z96" s="105">
        <f>SUM(U96:Y96)</f>
        <v>0</v>
      </c>
      <c r="AA96" s="105">
        <f>Z96+T96</f>
        <v>2027750</v>
      </c>
      <c r="AB96" s="105"/>
      <c r="AC96" s="105"/>
      <c r="AD96" s="105"/>
      <c r="AE96" s="105"/>
      <c r="AF96" s="105"/>
      <c r="AG96" s="105">
        <f>SUM(AB96:AF96)</f>
        <v>0</v>
      </c>
      <c r="AH96" s="105">
        <f t="shared" si="82"/>
        <v>2027750</v>
      </c>
      <c r="AI96" s="105">
        <v>2027750</v>
      </c>
      <c r="AJ96" s="732">
        <f t="shared" si="81"/>
        <v>100</v>
      </c>
    </row>
    <row r="97" spans="1:36" s="45" customFormat="1" ht="14">
      <c r="A97" s="103"/>
      <c r="B97" s="271"/>
      <c r="C97" s="22"/>
      <c r="D97" s="22"/>
      <c r="E97" s="22"/>
      <c r="F97" s="276"/>
      <c r="G97" s="690"/>
      <c r="H97" s="690"/>
      <c r="I97" s="689"/>
      <c r="J97" s="280"/>
      <c r="K97" s="280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732"/>
    </row>
    <row r="98" spans="1:36" s="45" customFormat="1" ht="14">
      <c r="A98" s="103"/>
      <c r="B98" s="271"/>
      <c r="C98" s="22"/>
      <c r="D98" s="22"/>
      <c r="E98" s="22"/>
      <c r="F98" s="20" t="s">
        <v>37</v>
      </c>
      <c r="G98" s="20"/>
      <c r="H98" s="4"/>
      <c r="I98" s="5"/>
      <c r="J98" s="101">
        <f>SUM(J87:J93)</f>
        <v>420911000</v>
      </c>
      <c r="K98" s="101">
        <f>SUM(K87:K93)</f>
        <v>5417000</v>
      </c>
      <c r="L98" s="101">
        <f t="shared" ref="L98:T98" si="83">SUM(L87:L96)</f>
        <v>426328000</v>
      </c>
      <c r="M98" s="101">
        <f t="shared" si="83"/>
        <v>32319595</v>
      </c>
      <c r="N98" s="101">
        <f t="shared" si="83"/>
        <v>0</v>
      </c>
      <c r="O98" s="101">
        <f t="shared" si="83"/>
        <v>0</v>
      </c>
      <c r="P98" s="101">
        <f t="shared" si="83"/>
        <v>0</v>
      </c>
      <c r="Q98" s="101">
        <f t="shared" si="83"/>
        <v>0</v>
      </c>
      <c r="R98" s="101">
        <f t="shared" si="83"/>
        <v>2134536</v>
      </c>
      <c r="S98" s="101">
        <f t="shared" si="83"/>
        <v>34454131</v>
      </c>
      <c r="T98" s="101">
        <f t="shared" si="83"/>
        <v>460782131</v>
      </c>
      <c r="U98" s="101"/>
      <c r="V98" s="101">
        <f t="shared" ref="V98" si="84">SUM(V87:V96)</f>
        <v>2390000</v>
      </c>
      <c r="W98" s="101"/>
      <c r="X98" s="101"/>
      <c r="Y98" s="101">
        <f t="shared" ref="Y98:AA98" si="85">SUM(Y87:Y96)</f>
        <v>2357386</v>
      </c>
      <c r="Z98" s="101">
        <f t="shared" si="85"/>
        <v>4747386</v>
      </c>
      <c r="AA98" s="101">
        <f t="shared" si="85"/>
        <v>465529517</v>
      </c>
      <c r="AB98" s="101"/>
      <c r="AC98" s="101">
        <f t="shared" ref="AC98" si="86">SUM(AC87:AC96)</f>
        <v>43707732</v>
      </c>
      <c r="AD98" s="101"/>
      <c r="AE98" s="101"/>
      <c r="AF98" s="101">
        <f t="shared" ref="AF98:AI98" si="87">SUM(AF87:AF96)</f>
        <v>7916483</v>
      </c>
      <c r="AG98" s="101">
        <f t="shared" si="87"/>
        <v>51624215</v>
      </c>
      <c r="AH98" s="101">
        <f t="shared" si="87"/>
        <v>517153732</v>
      </c>
      <c r="AI98" s="101">
        <f t="shared" si="87"/>
        <v>509153147</v>
      </c>
      <c r="AJ98" s="733">
        <f>AI98/AH98*100</f>
        <v>98.452958084811812</v>
      </c>
    </row>
    <row r="99" spans="1:36" s="45" customFormat="1" ht="14">
      <c r="A99" s="103"/>
      <c r="B99" s="271"/>
      <c r="C99" s="22"/>
      <c r="D99" s="22"/>
      <c r="E99" s="22"/>
      <c r="F99" s="694"/>
      <c r="G99" s="690"/>
      <c r="H99" s="689"/>
      <c r="I99" s="687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734"/>
    </row>
    <row r="100" spans="1:36" s="45" customFormat="1" ht="14">
      <c r="A100" s="103">
        <v>11</v>
      </c>
      <c r="B100" s="271"/>
      <c r="C100" s="22"/>
      <c r="D100" s="22"/>
      <c r="E100" s="22"/>
      <c r="F100" s="694" t="s">
        <v>39</v>
      </c>
      <c r="G100" s="690"/>
      <c r="H100" s="689"/>
      <c r="I100" s="687"/>
      <c r="J100" s="46"/>
      <c r="K100" s="46"/>
      <c r="L100" s="46"/>
      <c r="M100" s="46"/>
      <c r="N100" s="46"/>
      <c r="O100" s="46"/>
      <c r="P100" s="46"/>
      <c r="Q100" s="46"/>
      <c r="R100" s="46"/>
      <c r="S100" s="105"/>
      <c r="T100" s="105"/>
      <c r="U100" s="46"/>
      <c r="V100" s="46"/>
      <c r="W100" s="46"/>
      <c r="X100" s="46"/>
      <c r="Y100" s="46"/>
      <c r="Z100" s="105"/>
      <c r="AA100" s="105"/>
      <c r="AB100" s="46"/>
      <c r="AC100" s="46"/>
      <c r="AD100" s="46"/>
      <c r="AE100" s="46"/>
      <c r="AF100" s="46"/>
      <c r="AG100" s="105"/>
      <c r="AH100" s="105"/>
      <c r="AI100" s="105"/>
      <c r="AJ100" s="732"/>
    </row>
    <row r="101" spans="1:36" s="45" customFormat="1" ht="14">
      <c r="A101" s="103"/>
      <c r="B101" s="271"/>
      <c r="C101" s="22">
        <v>1</v>
      </c>
      <c r="D101" s="22">
        <v>4</v>
      </c>
      <c r="E101" s="22" t="s">
        <v>199</v>
      </c>
      <c r="F101" s="272"/>
      <c r="G101" s="690"/>
      <c r="H101" s="689" t="s">
        <v>285</v>
      </c>
      <c r="I101" s="684"/>
      <c r="J101" s="105">
        <v>28683316</v>
      </c>
      <c r="K101" s="105"/>
      <c r="L101" s="105">
        <f>SUM(J101:K101)</f>
        <v>28683316</v>
      </c>
      <c r="M101" s="105"/>
      <c r="N101" s="105"/>
      <c r="O101" s="105"/>
      <c r="P101" s="105"/>
      <c r="Q101" s="105"/>
      <c r="R101" s="105"/>
      <c r="S101" s="105">
        <f t="shared" ref="S101:S107" si="88">SUM(M101:R101)</f>
        <v>0</v>
      </c>
      <c r="T101" s="105">
        <f t="shared" ref="T101:T107" si="89">S101+L101</f>
        <v>28683316</v>
      </c>
      <c r="U101" s="105"/>
      <c r="V101" s="105"/>
      <c r="W101" s="105"/>
      <c r="X101" s="105"/>
      <c r="Y101" s="105"/>
      <c r="Z101" s="105">
        <f t="shared" ref="Z101:Z107" si="90">SUM(U101:Y101)</f>
        <v>0</v>
      </c>
      <c r="AA101" s="105">
        <f t="shared" ref="AA101:AA107" si="91">Z101+T101</f>
        <v>28683316</v>
      </c>
      <c r="AB101" s="105"/>
      <c r="AC101" s="105"/>
      <c r="AD101" s="105"/>
      <c r="AE101" s="105"/>
      <c r="AF101" s="105"/>
      <c r="AG101" s="105">
        <f t="shared" ref="AG101:AG107" si="92">SUM(AB101:AF101)</f>
        <v>0</v>
      </c>
      <c r="AH101" s="105">
        <f>AG101+AA101</f>
        <v>28683316</v>
      </c>
      <c r="AI101" s="105">
        <v>28334278</v>
      </c>
      <c r="AJ101" s="732">
        <f t="shared" ref="AJ101:AJ107" si="93">AI101/AH101*100</f>
        <v>98.783132326820237</v>
      </c>
    </row>
    <row r="102" spans="1:36" s="45" customFormat="1" ht="14">
      <c r="A102" s="273"/>
      <c r="B102" s="274"/>
      <c r="C102" s="155">
        <v>2</v>
      </c>
      <c r="D102" s="155">
        <v>6</v>
      </c>
      <c r="E102" s="155" t="s">
        <v>199</v>
      </c>
      <c r="F102" s="646"/>
      <c r="G102" s="690"/>
      <c r="H102" s="689" t="s">
        <v>252</v>
      </c>
      <c r="I102" s="684"/>
      <c r="J102" s="156"/>
      <c r="K102" s="156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>
        <v>2000000</v>
      </c>
      <c r="W102" s="156"/>
      <c r="X102" s="156"/>
      <c r="Y102" s="156"/>
      <c r="Z102" s="105">
        <f t="shared" si="90"/>
        <v>2000000</v>
      </c>
      <c r="AA102" s="156">
        <v>2000000</v>
      </c>
      <c r="AB102" s="156"/>
      <c r="AC102" s="156"/>
      <c r="AD102" s="156"/>
      <c r="AE102" s="156"/>
      <c r="AF102" s="156"/>
      <c r="AG102" s="105">
        <f t="shared" si="92"/>
        <v>0</v>
      </c>
      <c r="AH102" s="105">
        <f t="shared" ref="AH102:AH107" si="94">AG102+AA102</f>
        <v>2000000</v>
      </c>
      <c r="AI102" s="156">
        <v>2000000</v>
      </c>
      <c r="AJ102" s="732">
        <f t="shared" si="93"/>
        <v>100</v>
      </c>
    </row>
    <row r="103" spans="1:36" s="45" customFormat="1" ht="14">
      <c r="A103" s="103"/>
      <c r="B103" s="271"/>
      <c r="C103" s="22">
        <v>3</v>
      </c>
      <c r="D103" s="22">
        <v>1</v>
      </c>
      <c r="E103" s="22" t="s">
        <v>199</v>
      </c>
      <c r="F103" s="276"/>
      <c r="G103" s="690"/>
      <c r="H103" s="900" t="s">
        <v>239</v>
      </c>
      <c r="I103" s="901"/>
      <c r="J103" s="105">
        <v>70979905</v>
      </c>
      <c r="K103" s="105"/>
      <c r="L103" s="105">
        <f t="shared" ref="L103:L106" si="95">SUM(J103:K103)</f>
        <v>70979905</v>
      </c>
      <c r="M103" s="105"/>
      <c r="N103" s="105"/>
      <c r="O103" s="105"/>
      <c r="P103" s="105"/>
      <c r="Q103" s="105"/>
      <c r="R103" s="105">
        <f>4708775-2000000</f>
        <v>2708775</v>
      </c>
      <c r="S103" s="105">
        <f t="shared" si="88"/>
        <v>2708775</v>
      </c>
      <c r="T103" s="105">
        <f t="shared" si="89"/>
        <v>73688680</v>
      </c>
      <c r="U103" s="105"/>
      <c r="V103" s="105"/>
      <c r="W103" s="105"/>
      <c r="X103" s="105"/>
      <c r="Y103" s="105">
        <v>1500000</v>
      </c>
      <c r="Z103" s="105">
        <f t="shared" si="90"/>
        <v>1500000</v>
      </c>
      <c r="AA103" s="105">
        <f t="shared" si="91"/>
        <v>75188680</v>
      </c>
      <c r="AB103" s="105"/>
      <c r="AC103" s="105"/>
      <c r="AD103" s="105"/>
      <c r="AE103" s="105"/>
      <c r="AF103" s="105">
        <v>850000</v>
      </c>
      <c r="AG103" s="105">
        <f t="shared" si="92"/>
        <v>850000</v>
      </c>
      <c r="AH103" s="105">
        <f t="shared" si="94"/>
        <v>76038680</v>
      </c>
      <c r="AI103" s="105">
        <v>76038680</v>
      </c>
      <c r="AJ103" s="732">
        <f t="shared" si="93"/>
        <v>100</v>
      </c>
    </row>
    <row r="104" spans="1:36" s="45" customFormat="1" ht="14">
      <c r="A104" s="103"/>
      <c r="B104" s="271"/>
      <c r="C104" s="22">
        <v>7</v>
      </c>
      <c r="D104" s="22">
        <v>5</v>
      </c>
      <c r="E104" s="22" t="s">
        <v>199</v>
      </c>
      <c r="F104" s="276"/>
      <c r="G104" s="690"/>
      <c r="H104" s="689" t="s">
        <v>361</v>
      </c>
      <c r="I104" s="689"/>
      <c r="J104" s="105"/>
      <c r="K104" s="105"/>
      <c r="L104" s="105">
        <f t="shared" si="95"/>
        <v>0</v>
      </c>
      <c r="M104" s="105"/>
      <c r="N104" s="105"/>
      <c r="O104" s="105"/>
      <c r="P104" s="105"/>
      <c r="Q104" s="105"/>
      <c r="R104" s="105"/>
      <c r="S104" s="105">
        <f t="shared" si="88"/>
        <v>0</v>
      </c>
      <c r="T104" s="105">
        <f t="shared" si="89"/>
        <v>0</v>
      </c>
      <c r="U104" s="105"/>
      <c r="V104" s="105"/>
      <c r="W104" s="105"/>
      <c r="X104" s="105"/>
      <c r="Y104" s="105"/>
      <c r="Z104" s="105">
        <f t="shared" si="90"/>
        <v>0</v>
      </c>
      <c r="AA104" s="105">
        <f t="shared" si="91"/>
        <v>0</v>
      </c>
      <c r="AB104" s="105"/>
      <c r="AC104" s="105"/>
      <c r="AD104" s="105"/>
      <c r="AE104" s="105"/>
      <c r="AF104" s="105"/>
      <c r="AG104" s="105">
        <f t="shared" si="92"/>
        <v>0</v>
      </c>
      <c r="AH104" s="105">
        <f t="shared" si="94"/>
        <v>0</v>
      </c>
      <c r="AI104" s="105"/>
      <c r="AJ104" s="732"/>
    </row>
    <row r="105" spans="1:36" s="45" customFormat="1" ht="14">
      <c r="A105" s="273"/>
      <c r="B105" s="274"/>
      <c r="C105" s="22">
        <v>5</v>
      </c>
      <c r="D105" s="22">
        <v>7</v>
      </c>
      <c r="E105" s="22" t="s">
        <v>199</v>
      </c>
      <c r="F105" s="689"/>
      <c r="G105" s="690"/>
      <c r="H105" s="689" t="s">
        <v>268</v>
      </c>
      <c r="I105" s="684"/>
      <c r="J105" s="156"/>
      <c r="K105" s="156"/>
      <c r="L105" s="156"/>
      <c r="M105" s="156"/>
      <c r="N105" s="156"/>
      <c r="O105" s="156"/>
      <c r="P105" s="156"/>
      <c r="Q105" s="156"/>
      <c r="R105" s="156">
        <v>6000</v>
      </c>
      <c r="S105" s="105">
        <f t="shared" ref="S105" si="96">SUM(M105:R105)</f>
        <v>6000</v>
      </c>
      <c r="T105" s="105">
        <f t="shared" ref="T105" si="97">S105+L105</f>
        <v>6000</v>
      </c>
      <c r="U105" s="156"/>
      <c r="V105" s="156"/>
      <c r="W105" s="156"/>
      <c r="X105" s="156"/>
      <c r="Y105" s="156">
        <v>2000</v>
      </c>
      <c r="Z105" s="105">
        <f t="shared" si="90"/>
        <v>2000</v>
      </c>
      <c r="AA105" s="105">
        <f t="shared" si="91"/>
        <v>8000</v>
      </c>
      <c r="AB105" s="156"/>
      <c r="AC105" s="156"/>
      <c r="AD105" s="156"/>
      <c r="AE105" s="156"/>
      <c r="AF105" s="156">
        <v>103000</v>
      </c>
      <c r="AG105" s="105">
        <f t="shared" si="92"/>
        <v>103000</v>
      </c>
      <c r="AH105" s="105">
        <f t="shared" si="94"/>
        <v>111000</v>
      </c>
      <c r="AI105" s="105">
        <v>111000</v>
      </c>
      <c r="AJ105" s="732">
        <f t="shared" si="93"/>
        <v>100</v>
      </c>
    </row>
    <row r="106" spans="1:36" s="45" customFormat="1" ht="14">
      <c r="A106" s="103"/>
      <c r="B106" s="271"/>
      <c r="C106" s="22">
        <v>6</v>
      </c>
      <c r="D106" s="22">
        <v>2</v>
      </c>
      <c r="E106" s="22" t="s">
        <v>199</v>
      </c>
      <c r="F106" s="276"/>
      <c r="G106" s="690"/>
      <c r="H106" s="900" t="s">
        <v>454</v>
      </c>
      <c r="I106" s="901"/>
      <c r="J106" s="105"/>
      <c r="K106" s="105">
        <v>114446161</v>
      </c>
      <c r="L106" s="105">
        <f t="shared" si="95"/>
        <v>114446161</v>
      </c>
      <c r="M106" s="105"/>
      <c r="N106" s="105"/>
      <c r="O106" s="105"/>
      <c r="P106" s="105"/>
      <c r="Q106" s="105"/>
      <c r="R106" s="105"/>
      <c r="S106" s="105">
        <f t="shared" si="88"/>
        <v>0</v>
      </c>
      <c r="T106" s="105">
        <f t="shared" si="89"/>
        <v>114446161</v>
      </c>
      <c r="U106" s="105"/>
      <c r="V106" s="105"/>
      <c r="W106" s="105"/>
      <c r="X106" s="105"/>
      <c r="Y106" s="105">
        <v>114531</v>
      </c>
      <c r="Z106" s="105">
        <f t="shared" si="90"/>
        <v>114531</v>
      </c>
      <c r="AA106" s="105">
        <f t="shared" si="91"/>
        <v>114560692</v>
      </c>
      <c r="AB106" s="105"/>
      <c r="AC106" s="105"/>
      <c r="AD106" s="105"/>
      <c r="AE106" s="105"/>
      <c r="AF106" s="105">
        <v>1200000</v>
      </c>
      <c r="AG106" s="105">
        <f t="shared" si="92"/>
        <v>1200000</v>
      </c>
      <c r="AH106" s="105">
        <f t="shared" si="94"/>
        <v>115760692</v>
      </c>
      <c r="AI106" s="105">
        <v>115760692</v>
      </c>
      <c r="AJ106" s="732">
        <f t="shared" si="93"/>
        <v>100</v>
      </c>
    </row>
    <row r="107" spans="1:36" s="45" customFormat="1" ht="14">
      <c r="A107" s="103"/>
      <c r="B107" s="271"/>
      <c r="C107" s="22">
        <v>8</v>
      </c>
      <c r="D107" s="22">
        <v>8</v>
      </c>
      <c r="E107" s="22" t="s">
        <v>199</v>
      </c>
      <c r="F107" s="689"/>
      <c r="G107" s="690"/>
      <c r="H107" s="689" t="s">
        <v>539</v>
      </c>
      <c r="I107" s="684"/>
      <c r="J107" s="105"/>
      <c r="K107" s="105"/>
      <c r="L107" s="105"/>
      <c r="M107" s="105">
        <v>4334447</v>
      </c>
      <c r="N107" s="105"/>
      <c r="O107" s="105"/>
      <c r="P107" s="105"/>
      <c r="Q107" s="105"/>
      <c r="R107" s="105"/>
      <c r="S107" s="105">
        <f t="shared" si="88"/>
        <v>4334447</v>
      </c>
      <c r="T107" s="105">
        <f t="shared" si="89"/>
        <v>4334447</v>
      </c>
      <c r="U107" s="105"/>
      <c r="V107" s="105"/>
      <c r="W107" s="105"/>
      <c r="X107" s="105"/>
      <c r="Y107" s="105"/>
      <c r="Z107" s="105">
        <f t="shared" si="90"/>
        <v>0</v>
      </c>
      <c r="AA107" s="105">
        <f t="shared" si="91"/>
        <v>4334447</v>
      </c>
      <c r="AB107" s="105"/>
      <c r="AC107" s="105"/>
      <c r="AD107" s="105"/>
      <c r="AE107" s="105"/>
      <c r="AF107" s="105"/>
      <c r="AG107" s="105">
        <f t="shared" si="92"/>
        <v>0</v>
      </c>
      <c r="AH107" s="105">
        <f t="shared" si="94"/>
        <v>4334447</v>
      </c>
      <c r="AI107" s="105">
        <v>4334447</v>
      </c>
      <c r="AJ107" s="732">
        <f t="shared" si="93"/>
        <v>100</v>
      </c>
    </row>
    <row r="108" spans="1:36" s="45" customFormat="1" ht="14">
      <c r="A108" s="103"/>
      <c r="B108" s="271"/>
      <c r="C108" s="22"/>
      <c r="D108" s="22"/>
      <c r="E108" s="22"/>
      <c r="F108" s="694"/>
      <c r="G108" s="690"/>
      <c r="H108" s="689"/>
      <c r="I108" s="687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734"/>
    </row>
    <row r="109" spans="1:36" s="45" customFormat="1" ht="14">
      <c r="A109" s="103"/>
      <c r="B109" s="271"/>
      <c r="C109" s="22"/>
      <c r="D109" s="22"/>
      <c r="E109" s="22"/>
      <c r="F109" s="20" t="s">
        <v>37</v>
      </c>
      <c r="G109" s="20"/>
      <c r="H109" s="4"/>
      <c r="I109" s="5"/>
      <c r="J109" s="101">
        <f>SUM(J99:J108)</f>
        <v>99663221</v>
      </c>
      <c r="K109" s="101">
        <f>SUM(K99:K108)</f>
        <v>114446161</v>
      </c>
      <c r="L109" s="101">
        <f>SUM(L99:L108)</f>
        <v>214109382</v>
      </c>
      <c r="M109" s="101">
        <f t="shared" ref="M109:T109" si="98">SUM(M99:M108)</f>
        <v>4334447</v>
      </c>
      <c r="N109" s="101">
        <f t="shared" si="98"/>
        <v>0</v>
      </c>
      <c r="O109" s="101">
        <f t="shared" si="98"/>
        <v>0</v>
      </c>
      <c r="P109" s="101">
        <f t="shared" si="98"/>
        <v>0</v>
      </c>
      <c r="Q109" s="101">
        <f t="shared" si="98"/>
        <v>0</v>
      </c>
      <c r="R109" s="101">
        <f t="shared" si="98"/>
        <v>2714775</v>
      </c>
      <c r="S109" s="101">
        <f t="shared" si="98"/>
        <v>7049222</v>
      </c>
      <c r="T109" s="101">
        <f t="shared" si="98"/>
        <v>221158604</v>
      </c>
      <c r="U109" s="101"/>
      <c r="V109" s="101">
        <f t="shared" ref="V109" si="99">SUM(V99:V108)</f>
        <v>2000000</v>
      </c>
      <c r="W109" s="101"/>
      <c r="X109" s="101"/>
      <c r="Y109" s="101">
        <f t="shared" ref="Y109:AA109" si="100">SUM(Y99:Y108)</f>
        <v>1616531</v>
      </c>
      <c r="Z109" s="101">
        <f t="shared" si="100"/>
        <v>3616531</v>
      </c>
      <c r="AA109" s="101">
        <f t="shared" si="100"/>
        <v>224775135</v>
      </c>
      <c r="AB109" s="101"/>
      <c r="AC109" s="101">
        <f t="shared" ref="AC109" si="101">SUM(AC99:AC108)</f>
        <v>0</v>
      </c>
      <c r="AD109" s="101"/>
      <c r="AE109" s="101">
        <f t="shared" ref="AE109:AI109" si="102">SUM(AE99:AE108)</f>
        <v>0</v>
      </c>
      <c r="AF109" s="101">
        <f t="shared" si="102"/>
        <v>2153000</v>
      </c>
      <c r="AG109" s="101">
        <f t="shared" si="102"/>
        <v>2153000</v>
      </c>
      <c r="AH109" s="101">
        <f t="shared" si="102"/>
        <v>226928135</v>
      </c>
      <c r="AI109" s="101">
        <f t="shared" si="102"/>
        <v>226579097</v>
      </c>
      <c r="AJ109" s="733">
        <f>AI109/AH109*100</f>
        <v>99.846190072465006</v>
      </c>
    </row>
    <row r="110" spans="1:36" s="45" customFormat="1" ht="14">
      <c r="A110" s="103"/>
      <c r="B110" s="271"/>
      <c r="C110" s="22"/>
      <c r="D110" s="22"/>
      <c r="E110" s="22"/>
      <c r="F110" s="6"/>
      <c r="G110" s="6"/>
      <c r="H110" s="7"/>
      <c r="I110" s="8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734"/>
    </row>
    <row r="111" spans="1:36" s="45" customFormat="1" ht="14">
      <c r="A111" s="103">
        <v>12</v>
      </c>
      <c r="B111" s="281"/>
      <c r="C111" s="22"/>
      <c r="D111" s="22"/>
      <c r="E111" s="22"/>
      <c r="F111" s="694" t="s">
        <v>194</v>
      </c>
      <c r="G111" s="690"/>
      <c r="H111" s="689"/>
      <c r="I111" s="687"/>
      <c r="J111" s="46"/>
      <c r="K111" s="46"/>
      <c r="L111" s="46"/>
      <c r="M111" s="46"/>
      <c r="N111" s="46"/>
      <c r="O111" s="46"/>
      <c r="P111" s="46"/>
      <c r="Q111" s="46"/>
      <c r="R111" s="46"/>
      <c r="S111" s="105"/>
      <c r="T111" s="105"/>
      <c r="U111" s="46"/>
      <c r="V111" s="46"/>
      <c r="W111" s="46"/>
      <c r="X111" s="46"/>
      <c r="Y111" s="46"/>
      <c r="Z111" s="105"/>
      <c r="AA111" s="105"/>
      <c r="AB111" s="46"/>
      <c r="AC111" s="46"/>
      <c r="AD111" s="46"/>
      <c r="AE111" s="46"/>
      <c r="AF111" s="46"/>
      <c r="AG111" s="105"/>
      <c r="AH111" s="105"/>
      <c r="AI111" s="105"/>
      <c r="AJ111" s="732"/>
    </row>
    <row r="112" spans="1:36" s="45" customFormat="1" ht="14">
      <c r="A112" s="103"/>
      <c r="B112" s="271"/>
      <c r="C112" s="22">
        <v>1</v>
      </c>
      <c r="D112" s="22">
        <v>4</v>
      </c>
      <c r="E112" s="22" t="s">
        <v>199</v>
      </c>
      <c r="F112" s="272"/>
      <c r="G112" s="690"/>
      <c r="H112" s="689" t="s">
        <v>285</v>
      </c>
      <c r="I112" s="684"/>
      <c r="J112" s="105">
        <v>599125205</v>
      </c>
      <c r="K112" s="105"/>
      <c r="L112" s="105">
        <f>SUM(J112:K112)</f>
        <v>599125205</v>
      </c>
      <c r="M112" s="105"/>
      <c r="N112" s="105"/>
      <c r="O112" s="105"/>
      <c r="P112" s="105"/>
      <c r="Q112" s="105"/>
      <c r="R112" s="105"/>
      <c r="S112" s="105">
        <f t="shared" ref="S112" si="103">SUM(M112:R112)</f>
        <v>0</v>
      </c>
      <c r="T112" s="105">
        <f t="shared" ref="T112" si="104">S112+L112</f>
        <v>599125205</v>
      </c>
      <c r="U112" s="105"/>
      <c r="V112" s="105"/>
      <c r="W112" s="105"/>
      <c r="X112" s="105"/>
      <c r="Y112" s="105"/>
      <c r="Z112" s="105">
        <f>SUM(U112:Y112)</f>
        <v>0</v>
      </c>
      <c r="AA112" s="105">
        <f>Z112+T112</f>
        <v>599125205</v>
      </c>
      <c r="AB112" s="105"/>
      <c r="AC112" s="105">
        <f>57124437+18812103</f>
        <v>75936540</v>
      </c>
      <c r="AD112" s="105"/>
      <c r="AE112" s="105"/>
      <c r="AF112" s="105"/>
      <c r="AG112" s="105">
        <f>SUM(AB112:AF112)</f>
        <v>75936540</v>
      </c>
      <c r="AH112" s="105">
        <f>AG112+AA112</f>
        <v>675061745</v>
      </c>
      <c r="AI112" s="105">
        <v>675061745</v>
      </c>
      <c r="AJ112" s="732">
        <f t="shared" ref="AJ112:AJ116" si="105">AI112/AH112*100</f>
        <v>100</v>
      </c>
    </row>
    <row r="113" spans="1:36" s="45" customFormat="1" ht="14">
      <c r="A113" s="103"/>
      <c r="B113" s="271"/>
      <c r="C113" s="22">
        <v>3</v>
      </c>
      <c r="D113" s="22">
        <v>1</v>
      </c>
      <c r="E113" s="22" t="s">
        <v>199</v>
      </c>
      <c r="F113" s="276"/>
      <c r="G113" s="690"/>
      <c r="H113" s="689" t="s">
        <v>239</v>
      </c>
      <c r="I113" s="277"/>
      <c r="J113" s="105">
        <v>1724727</v>
      </c>
      <c r="K113" s="105"/>
      <c r="L113" s="105">
        <f>SUM(J113:K113)</f>
        <v>1724727</v>
      </c>
      <c r="M113" s="105"/>
      <c r="N113" s="105"/>
      <c r="O113" s="105"/>
      <c r="P113" s="105"/>
      <c r="Q113" s="105"/>
      <c r="R113" s="105">
        <v>25153304</v>
      </c>
      <c r="S113" s="105">
        <f t="shared" ref="S113:S116" si="106">SUM(M113:R113)</f>
        <v>25153304</v>
      </c>
      <c r="T113" s="105">
        <f t="shared" ref="T113:T116" si="107">S113+L113</f>
        <v>26878031</v>
      </c>
      <c r="U113" s="105"/>
      <c r="V113" s="105"/>
      <c r="W113" s="105"/>
      <c r="X113" s="105"/>
      <c r="Y113" s="105">
        <v>15079063</v>
      </c>
      <c r="Z113" s="105">
        <f>SUM(U113:Y113)</f>
        <v>15079063</v>
      </c>
      <c r="AA113" s="105">
        <f>Z113+T113</f>
        <v>41957094</v>
      </c>
      <c r="AB113" s="105"/>
      <c r="AC113" s="105"/>
      <c r="AD113" s="105"/>
      <c r="AE113" s="105"/>
      <c r="AF113" s="105">
        <f>5542022+223102+323367</f>
        <v>6088491</v>
      </c>
      <c r="AG113" s="105">
        <f t="shared" ref="AG113:AG116" si="108">SUM(AB113:AF113)</f>
        <v>6088491</v>
      </c>
      <c r="AH113" s="105">
        <f t="shared" ref="AH113:AH116" si="109">AG113+AA113</f>
        <v>48045585</v>
      </c>
      <c r="AI113" s="105">
        <v>48045585</v>
      </c>
      <c r="AJ113" s="732">
        <f t="shared" si="105"/>
        <v>100</v>
      </c>
    </row>
    <row r="114" spans="1:36" s="45" customFormat="1" ht="14">
      <c r="A114" s="273"/>
      <c r="B114" s="274"/>
      <c r="C114" s="22">
        <v>6</v>
      </c>
      <c r="D114" s="22">
        <v>2</v>
      </c>
      <c r="E114" s="22" t="s">
        <v>199</v>
      </c>
      <c r="F114" s="276"/>
      <c r="G114" s="690"/>
      <c r="H114" s="900" t="s">
        <v>454</v>
      </c>
      <c r="I114" s="901"/>
      <c r="J114" s="156"/>
      <c r="K114" s="156"/>
      <c r="L114" s="156"/>
      <c r="M114" s="156"/>
      <c r="N114" s="156"/>
      <c r="O114" s="156"/>
      <c r="P114" s="156"/>
      <c r="Q114" s="156"/>
      <c r="R114" s="156">
        <v>6900000</v>
      </c>
      <c r="S114" s="105">
        <f t="shared" si="106"/>
        <v>6900000</v>
      </c>
      <c r="T114" s="105">
        <f t="shared" si="107"/>
        <v>6900000</v>
      </c>
      <c r="U114" s="156"/>
      <c r="V114" s="156"/>
      <c r="W114" s="156"/>
      <c r="X114" s="156"/>
      <c r="Y114" s="156">
        <v>6110000</v>
      </c>
      <c r="Z114" s="105">
        <f>SUM(U114:Y114)</f>
        <v>6110000</v>
      </c>
      <c r="AA114" s="105">
        <f>Z114+T114</f>
        <v>13010000</v>
      </c>
      <c r="AB114" s="156"/>
      <c r="AC114" s="156"/>
      <c r="AD114" s="156"/>
      <c r="AE114" s="156"/>
      <c r="AF114" s="156">
        <v>5300000</v>
      </c>
      <c r="AG114" s="105">
        <f t="shared" si="108"/>
        <v>5300000</v>
      </c>
      <c r="AH114" s="105">
        <f t="shared" si="109"/>
        <v>18310000</v>
      </c>
      <c r="AI114" s="105">
        <v>18310000</v>
      </c>
      <c r="AJ114" s="732">
        <f t="shared" si="105"/>
        <v>100</v>
      </c>
    </row>
    <row r="115" spans="1:36" s="45" customFormat="1" ht="14">
      <c r="A115" s="273"/>
      <c r="B115" s="274"/>
      <c r="C115" s="155">
        <v>7</v>
      </c>
      <c r="D115" s="155">
        <v>5</v>
      </c>
      <c r="E115" s="155" t="s">
        <v>199</v>
      </c>
      <c r="F115" s="689"/>
      <c r="G115" s="690"/>
      <c r="H115" s="689" t="s">
        <v>643</v>
      </c>
      <c r="I115" s="684"/>
      <c r="J115" s="156"/>
      <c r="K115" s="156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  <c r="Z115" s="156"/>
      <c r="AA115" s="156"/>
      <c r="AB115" s="156"/>
      <c r="AC115" s="156">
        <v>186220</v>
      </c>
      <c r="AD115" s="156"/>
      <c r="AE115" s="156"/>
      <c r="AF115" s="156"/>
      <c r="AG115" s="105">
        <f t="shared" si="108"/>
        <v>186220</v>
      </c>
      <c r="AH115" s="105">
        <f t="shared" si="109"/>
        <v>186220</v>
      </c>
      <c r="AI115" s="156">
        <v>186220</v>
      </c>
      <c r="AJ115" s="732">
        <f t="shared" si="105"/>
        <v>100</v>
      </c>
    </row>
    <row r="116" spans="1:36" s="45" customFormat="1" ht="14">
      <c r="A116" s="103"/>
      <c r="B116" s="271"/>
      <c r="C116" s="22">
        <v>8</v>
      </c>
      <c r="D116" s="22">
        <v>8</v>
      </c>
      <c r="E116" s="22" t="s">
        <v>199</v>
      </c>
      <c r="F116" s="689"/>
      <c r="G116" s="690"/>
      <c r="H116" s="689" t="s">
        <v>539</v>
      </c>
      <c r="I116" s="684"/>
      <c r="J116" s="105"/>
      <c r="K116" s="105"/>
      <c r="L116" s="105"/>
      <c r="M116" s="105">
        <v>204796941</v>
      </c>
      <c r="N116" s="105"/>
      <c r="O116" s="105"/>
      <c r="P116" s="105"/>
      <c r="Q116" s="105"/>
      <c r="R116" s="105"/>
      <c r="S116" s="105">
        <f t="shared" si="106"/>
        <v>204796941</v>
      </c>
      <c r="T116" s="105">
        <f t="shared" si="107"/>
        <v>204796941</v>
      </c>
      <c r="U116" s="105"/>
      <c r="V116" s="105"/>
      <c r="W116" s="105"/>
      <c r="X116" s="105"/>
      <c r="Y116" s="105"/>
      <c r="Z116" s="105">
        <f>SUM(U116:Y116)</f>
        <v>0</v>
      </c>
      <c r="AA116" s="105">
        <f>Z116+T116</f>
        <v>204796941</v>
      </c>
      <c r="AB116" s="105"/>
      <c r="AC116" s="105"/>
      <c r="AD116" s="105"/>
      <c r="AE116" s="105"/>
      <c r="AF116" s="105"/>
      <c r="AG116" s="105">
        <f t="shared" si="108"/>
        <v>0</v>
      </c>
      <c r="AH116" s="105">
        <f t="shared" si="109"/>
        <v>204796941</v>
      </c>
      <c r="AI116" s="105">
        <v>204796941</v>
      </c>
      <c r="AJ116" s="732">
        <f t="shared" si="105"/>
        <v>100</v>
      </c>
    </row>
    <row r="117" spans="1:36" s="45" customFormat="1" ht="14">
      <c r="A117" s="103"/>
      <c r="B117" s="271"/>
      <c r="C117" s="22"/>
      <c r="D117" s="22"/>
      <c r="E117" s="22"/>
      <c r="F117" s="276"/>
      <c r="G117" s="690"/>
      <c r="H117" s="689"/>
      <c r="I117" s="277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734"/>
    </row>
    <row r="118" spans="1:36" s="45" customFormat="1" ht="14">
      <c r="A118" s="103"/>
      <c r="B118" s="271"/>
      <c r="C118" s="22"/>
      <c r="D118" s="22"/>
      <c r="E118" s="22"/>
      <c r="F118" s="20" t="s">
        <v>37</v>
      </c>
      <c r="G118" s="20"/>
      <c r="H118" s="4"/>
      <c r="I118" s="5"/>
      <c r="J118" s="101">
        <f>SUM(J112:J117)</f>
        <v>600849932</v>
      </c>
      <c r="K118" s="101"/>
      <c r="L118" s="101">
        <f t="shared" ref="L118:T118" si="110">SUM(L112:L117)</f>
        <v>600849932</v>
      </c>
      <c r="M118" s="101">
        <f t="shared" si="110"/>
        <v>204796941</v>
      </c>
      <c r="N118" s="101">
        <f t="shared" si="110"/>
        <v>0</v>
      </c>
      <c r="O118" s="101">
        <f t="shared" si="110"/>
        <v>0</v>
      </c>
      <c r="P118" s="101">
        <f t="shared" si="110"/>
        <v>0</v>
      </c>
      <c r="Q118" s="101">
        <f t="shared" si="110"/>
        <v>0</v>
      </c>
      <c r="R118" s="101">
        <f t="shared" si="110"/>
        <v>32053304</v>
      </c>
      <c r="S118" s="101">
        <f t="shared" si="110"/>
        <v>236850245</v>
      </c>
      <c r="T118" s="101">
        <f t="shared" si="110"/>
        <v>837700177</v>
      </c>
      <c r="U118" s="101"/>
      <c r="V118" s="101"/>
      <c r="W118" s="101"/>
      <c r="X118" s="101"/>
      <c r="Y118" s="101">
        <f t="shared" ref="Y118:AI118" si="111">SUM(Y112:Y117)</f>
        <v>21189063</v>
      </c>
      <c r="Z118" s="101">
        <f t="shared" si="111"/>
        <v>21189063</v>
      </c>
      <c r="AA118" s="101">
        <f t="shared" si="111"/>
        <v>858889240</v>
      </c>
      <c r="AB118" s="101">
        <f t="shared" si="111"/>
        <v>0</v>
      </c>
      <c r="AC118" s="101">
        <f t="shared" si="111"/>
        <v>76122760</v>
      </c>
      <c r="AD118" s="101">
        <f t="shared" si="111"/>
        <v>0</v>
      </c>
      <c r="AE118" s="101">
        <f t="shared" si="111"/>
        <v>0</v>
      </c>
      <c r="AF118" s="101">
        <f t="shared" si="111"/>
        <v>11388491</v>
      </c>
      <c r="AG118" s="101">
        <f t="shared" si="111"/>
        <v>87511251</v>
      </c>
      <c r="AH118" s="101">
        <f t="shared" si="111"/>
        <v>946400491</v>
      </c>
      <c r="AI118" s="101">
        <f t="shared" si="111"/>
        <v>946400491</v>
      </c>
      <c r="AJ118" s="733">
        <f>AI118/AH118*100</f>
        <v>100</v>
      </c>
    </row>
    <row r="119" spans="1:36" s="45" customFormat="1" ht="15.5" customHeight="1">
      <c r="A119" s="103"/>
      <c r="B119" s="271"/>
      <c r="C119" s="22"/>
      <c r="D119" s="22"/>
      <c r="E119" s="22"/>
      <c r="F119" s="694"/>
      <c r="G119" s="690"/>
      <c r="H119" s="689"/>
      <c r="I119" s="687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734"/>
    </row>
    <row r="120" spans="1:36" s="45" customFormat="1" ht="15.5" customHeight="1">
      <c r="A120" s="103">
        <v>13</v>
      </c>
      <c r="B120" s="271"/>
      <c r="C120" s="22"/>
      <c r="D120" s="22"/>
      <c r="E120" s="22"/>
      <c r="F120" s="694" t="s">
        <v>192</v>
      </c>
      <c r="G120" s="690"/>
      <c r="H120" s="689"/>
      <c r="I120" s="687"/>
      <c r="J120" s="46"/>
      <c r="K120" s="46"/>
      <c r="L120" s="46"/>
      <c r="M120" s="46"/>
      <c r="N120" s="46"/>
      <c r="O120" s="46"/>
      <c r="P120" s="46"/>
      <c r="Q120" s="46"/>
      <c r="R120" s="46"/>
      <c r="S120" s="105"/>
      <c r="T120" s="105"/>
      <c r="U120" s="46"/>
      <c r="V120" s="46"/>
      <c r="W120" s="46"/>
      <c r="X120" s="46"/>
      <c r="Y120" s="46"/>
      <c r="Z120" s="105"/>
      <c r="AA120" s="105"/>
      <c r="AB120" s="46"/>
      <c r="AC120" s="46"/>
      <c r="AD120" s="46"/>
      <c r="AE120" s="46"/>
      <c r="AF120" s="46"/>
      <c r="AG120" s="105"/>
      <c r="AH120" s="105"/>
      <c r="AI120" s="105"/>
      <c r="AJ120" s="732"/>
    </row>
    <row r="121" spans="1:36" s="45" customFormat="1" ht="15.5" customHeight="1">
      <c r="A121" s="103"/>
      <c r="B121" s="271"/>
      <c r="C121" s="22">
        <v>1</v>
      </c>
      <c r="D121" s="22">
        <v>4</v>
      </c>
      <c r="E121" s="22" t="s">
        <v>199</v>
      </c>
      <c r="F121" s="272"/>
      <c r="G121" s="690"/>
      <c r="H121" s="689" t="s">
        <v>285</v>
      </c>
      <c r="I121" s="684"/>
      <c r="J121" s="105">
        <v>12732185</v>
      </c>
      <c r="K121" s="105"/>
      <c r="L121" s="105">
        <f>SUM(J121:K121)</f>
        <v>12732185</v>
      </c>
      <c r="M121" s="105"/>
      <c r="N121" s="105"/>
      <c r="O121" s="105"/>
      <c r="P121" s="105"/>
      <c r="Q121" s="105"/>
      <c r="R121" s="105"/>
      <c r="S121" s="105">
        <f t="shared" ref="S121:S127" si="112">SUM(M121:R121)</f>
        <v>0</v>
      </c>
      <c r="T121" s="105">
        <f t="shared" ref="T121:T127" si="113">S121+L121</f>
        <v>12732185</v>
      </c>
      <c r="U121" s="105"/>
      <c r="V121" s="105"/>
      <c r="W121" s="105"/>
      <c r="X121" s="105"/>
      <c r="Y121" s="105"/>
      <c r="Z121" s="105">
        <f t="shared" ref="Z121:Z127" si="114">SUM(U121:Y121)</f>
        <v>0</v>
      </c>
      <c r="AA121" s="105">
        <f t="shared" ref="AA121:AA127" si="115">Z121+T121</f>
        <v>12732185</v>
      </c>
      <c r="AB121" s="105"/>
      <c r="AC121" s="105"/>
      <c r="AD121" s="105"/>
      <c r="AE121" s="105"/>
      <c r="AF121" s="105"/>
      <c r="AG121" s="105">
        <f t="shared" ref="AG121:AG127" si="116">SUM(AB121:AF121)</f>
        <v>0</v>
      </c>
      <c r="AH121" s="105">
        <f t="shared" ref="AH121:AH127" si="117">AG121+AA121</f>
        <v>12732185</v>
      </c>
      <c r="AI121" s="105">
        <v>13192694</v>
      </c>
      <c r="AJ121" s="732">
        <f t="shared" ref="AJ121:AJ127" si="118">AI121/AH121*100</f>
        <v>103.61688901001673</v>
      </c>
    </row>
    <row r="122" spans="1:36" s="45" customFormat="1" ht="15.5" customHeight="1">
      <c r="A122" s="273"/>
      <c r="B122" s="274"/>
      <c r="C122" s="22">
        <v>3</v>
      </c>
      <c r="D122" s="22">
        <v>1</v>
      </c>
      <c r="E122" s="22" t="s">
        <v>199</v>
      </c>
      <c r="F122" s="282"/>
      <c r="G122" s="690"/>
      <c r="H122" s="689" t="s">
        <v>239</v>
      </c>
      <c r="I122" s="684"/>
      <c r="J122" s="156"/>
      <c r="K122" s="156"/>
      <c r="L122" s="156"/>
      <c r="M122" s="156"/>
      <c r="N122" s="156"/>
      <c r="O122" s="156"/>
      <c r="P122" s="156"/>
      <c r="Q122" s="156"/>
      <c r="R122" s="156">
        <v>13094317</v>
      </c>
      <c r="S122" s="105">
        <f t="shared" ref="S122" si="119">SUM(M122:R122)</f>
        <v>13094317</v>
      </c>
      <c r="T122" s="105">
        <f t="shared" ref="T122" si="120">S122+L122</f>
        <v>13094317</v>
      </c>
      <c r="U122" s="156"/>
      <c r="V122" s="156"/>
      <c r="W122" s="156"/>
      <c r="X122" s="156"/>
      <c r="Y122" s="156"/>
      <c r="Z122" s="105">
        <f t="shared" si="114"/>
        <v>0</v>
      </c>
      <c r="AA122" s="105">
        <f t="shared" si="115"/>
        <v>13094317</v>
      </c>
      <c r="AB122" s="156"/>
      <c r="AC122" s="156"/>
      <c r="AD122" s="156"/>
      <c r="AE122" s="156"/>
      <c r="AF122" s="156">
        <v>1080000</v>
      </c>
      <c r="AG122" s="105">
        <f t="shared" si="116"/>
        <v>1080000</v>
      </c>
      <c r="AH122" s="105">
        <f t="shared" si="117"/>
        <v>14174317</v>
      </c>
      <c r="AI122" s="105">
        <v>14174317</v>
      </c>
      <c r="AJ122" s="732">
        <f t="shared" si="118"/>
        <v>100</v>
      </c>
    </row>
    <row r="123" spans="1:36" s="45" customFormat="1" ht="15.5" customHeight="1">
      <c r="A123" s="103"/>
      <c r="B123" s="271"/>
      <c r="C123" s="22">
        <v>3</v>
      </c>
      <c r="D123" s="22">
        <v>1</v>
      </c>
      <c r="E123" s="22" t="s">
        <v>198</v>
      </c>
      <c r="F123" s="276"/>
      <c r="G123" s="690"/>
      <c r="H123" s="689" t="s">
        <v>239</v>
      </c>
      <c r="I123" s="277"/>
      <c r="J123" s="105">
        <v>40800000</v>
      </c>
      <c r="K123" s="105"/>
      <c r="L123" s="105">
        <f t="shared" ref="L123:L125" si="121">SUM(J123:K123)</f>
        <v>40800000</v>
      </c>
      <c r="M123" s="105"/>
      <c r="N123" s="105"/>
      <c r="O123" s="105"/>
      <c r="P123" s="105"/>
      <c r="Q123" s="105"/>
      <c r="R123" s="105"/>
      <c r="S123" s="105">
        <f t="shared" si="112"/>
        <v>0</v>
      </c>
      <c r="T123" s="105">
        <f t="shared" si="113"/>
        <v>40800000</v>
      </c>
      <c r="U123" s="105"/>
      <c r="V123" s="105"/>
      <c r="W123" s="105"/>
      <c r="X123" s="105"/>
      <c r="Y123" s="105"/>
      <c r="Z123" s="105">
        <f t="shared" si="114"/>
        <v>0</v>
      </c>
      <c r="AA123" s="105">
        <f t="shared" si="115"/>
        <v>40800000</v>
      </c>
      <c r="AB123" s="105"/>
      <c r="AC123" s="105"/>
      <c r="AD123" s="105"/>
      <c r="AE123" s="105"/>
      <c r="AF123" s="105">
        <v>6990434</v>
      </c>
      <c r="AG123" s="105">
        <f t="shared" si="116"/>
        <v>6990434</v>
      </c>
      <c r="AH123" s="105">
        <f t="shared" si="117"/>
        <v>47790434</v>
      </c>
      <c r="AI123" s="105">
        <v>47790434</v>
      </c>
      <c r="AJ123" s="732">
        <f t="shared" si="118"/>
        <v>100</v>
      </c>
    </row>
    <row r="124" spans="1:36" s="45" customFormat="1" ht="15.5" customHeight="1">
      <c r="A124" s="273"/>
      <c r="B124" s="274"/>
      <c r="C124" s="155">
        <v>6</v>
      </c>
      <c r="D124" s="155">
        <v>2</v>
      </c>
      <c r="E124" s="155" t="s">
        <v>198</v>
      </c>
      <c r="F124" s="283"/>
      <c r="G124" s="690"/>
      <c r="H124" s="900" t="s">
        <v>454</v>
      </c>
      <c r="I124" s="901"/>
      <c r="J124" s="156"/>
      <c r="K124" s="156">
        <v>13200000</v>
      </c>
      <c r="L124" s="105">
        <f t="shared" si="121"/>
        <v>13200000</v>
      </c>
      <c r="M124" s="105"/>
      <c r="N124" s="105"/>
      <c r="O124" s="105"/>
      <c r="P124" s="105"/>
      <c r="Q124" s="105"/>
      <c r="R124" s="105"/>
      <c r="S124" s="105">
        <f t="shared" si="112"/>
        <v>0</v>
      </c>
      <c r="T124" s="105">
        <f t="shared" si="113"/>
        <v>13200000</v>
      </c>
      <c r="U124" s="105"/>
      <c r="V124" s="105"/>
      <c r="W124" s="105"/>
      <c r="X124" s="105"/>
      <c r="Y124" s="105"/>
      <c r="Z124" s="105">
        <f t="shared" si="114"/>
        <v>0</v>
      </c>
      <c r="AA124" s="105">
        <f t="shared" si="115"/>
        <v>13200000</v>
      </c>
      <c r="AB124" s="105"/>
      <c r="AC124" s="105"/>
      <c r="AD124" s="105"/>
      <c r="AE124" s="105"/>
      <c r="AF124" s="105">
        <v>293480</v>
      </c>
      <c r="AG124" s="105">
        <f t="shared" si="116"/>
        <v>293480</v>
      </c>
      <c r="AH124" s="105">
        <f t="shared" si="117"/>
        <v>13493480</v>
      </c>
      <c r="AI124" s="105">
        <v>13493480</v>
      </c>
      <c r="AJ124" s="732">
        <f t="shared" si="118"/>
        <v>100</v>
      </c>
    </row>
    <row r="125" spans="1:36" s="45" customFormat="1" ht="15.5" customHeight="1">
      <c r="A125" s="103"/>
      <c r="B125" s="271"/>
      <c r="C125" s="22">
        <v>10</v>
      </c>
      <c r="D125" s="22">
        <v>3</v>
      </c>
      <c r="E125" s="22" t="s">
        <v>250</v>
      </c>
      <c r="F125" s="276"/>
      <c r="G125" s="690"/>
      <c r="H125" s="689" t="s">
        <v>167</v>
      </c>
      <c r="I125" s="277"/>
      <c r="J125" s="105">
        <v>415000</v>
      </c>
      <c r="K125" s="105"/>
      <c r="L125" s="105">
        <f t="shared" si="121"/>
        <v>415000</v>
      </c>
      <c r="M125" s="105"/>
      <c r="N125" s="105"/>
      <c r="O125" s="105"/>
      <c r="P125" s="105"/>
      <c r="Q125" s="105"/>
      <c r="R125" s="105"/>
      <c r="S125" s="105">
        <f t="shared" si="112"/>
        <v>0</v>
      </c>
      <c r="T125" s="105">
        <f t="shared" si="113"/>
        <v>415000</v>
      </c>
      <c r="U125" s="105"/>
      <c r="V125" s="105"/>
      <c r="W125" s="105"/>
      <c r="X125" s="105"/>
      <c r="Y125" s="105"/>
      <c r="Z125" s="105">
        <f t="shared" si="114"/>
        <v>0</v>
      </c>
      <c r="AA125" s="105">
        <f t="shared" si="115"/>
        <v>415000</v>
      </c>
      <c r="AB125" s="105"/>
      <c r="AC125" s="105"/>
      <c r="AD125" s="105"/>
      <c r="AE125" s="105"/>
      <c r="AF125" s="105"/>
      <c r="AG125" s="105">
        <f t="shared" si="116"/>
        <v>0</v>
      </c>
      <c r="AH125" s="105">
        <f t="shared" si="117"/>
        <v>415000</v>
      </c>
      <c r="AI125" s="105">
        <v>460655</v>
      </c>
      <c r="AJ125" s="732">
        <f t="shared" si="118"/>
        <v>111.00120481927711</v>
      </c>
    </row>
    <row r="126" spans="1:36" s="45" customFormat="1" ht="15.5" customHeight="1">
      <c r="A126" s="103"/>
      <c r="B126" s="271"/>
      <c r="C126" s="22">
        <v>8</v>
      </c>
      <c r="D126" s="22">
        <v>8</v>
      </c>
      <c r="E126" s="22" t="s">
        <v>250</v>
      </c>
      <c r="F126" s="279"/>
      <c r="G126" s="690"/>
      <c r="H126" s="689" t="s">
        <v>539</v>
      </c>
      <c r="I126" s="277"/>
      <c r="J126" s="105"/>
      <c r="K126" s="105"/>
      <c r="L126" s="105"/>
      <c r="M126" s="105">
        <v>421527</v>
      </c>
      <c r="N126" s="105"/>
      <c r="O126" s="105"/>
      <c r="P126" s="105"/>
      <c r="Q126" s="105"/>
      <c r="R126" s="105"/>
      <c r="S126" s="105">
        <f t="shared" si="112"/>
        <v>421527</v>
      </c>
      <c r="T126" s="105">
        <f t="shared" si="113"/>
        <v>421527</v>
      </c>
      <c r="U126" s="105"/>
      <c r="V126" s="105"/>
      <c r="W126" s="105"/>
      <c r="X126" s="105"/>
      <c r="Y126" s="105"/>
      <c r="Z126" s="105">
        <f t="shared" si="114"/>
        <v>0</v>
      </c>
      <c r="AA126" s="105">
        <f t="shared" si="115"/>
        <v>421527</v>
      </c>
      <c r="AB126" s="105"/>
      <c r="AC126" s="105"/>
      <c r="AD126" s="105"/>
      <c r="AE126" s="105"/>
      <c r="AF126" s="105"/>
      <c r="AG126" s="105">
        <f t="shared" si="116"/>
        <v>0</v>
      </c>
      <c r="AH126" s="105">
        <f t="shared" si="117"/>
        <v>421527</v>
      </c>
      <c r="AI126" s="105">
        <v>421527</v>
      </c>
      <c r="AJ126" s="732">
        <f t="shared" si="118"/>
        <v>100</v>
      </c>
    </row>
    <row r="127" spans="1:36" s="45" customFormat="1" ht="15.5" customHeight="1">
      <c r="A127" s="103"/>
      <c r="B127" s="271"/>
      <c r="C127" s="22">
        <v>8</v>
      </c>
      <c r="D127" s="22">
        <v>8</v>
      </c>
      <c r="E127" s="22" t="s">
        <v>199</v>
      </c>
      <c r="F127" s="689"/>
      <c r="G127" s="690"/>
      <c r="H127" s="689" t="s">
        <v>539</v>
      </c>
      <c r="I127" s="684"/>
      <c r="J127" s="105"/>
      <c r="K127" s="105"/>
      <c r="L127" s="105"/>
      <c r="M127" s="105">
        <f>117983947+169758229</f>
        <v>287742176</v>
      </c>
      <c r="N127" s="105"/>
      <c r="O127" s="105"/>
      <c r="P127" s="105"/>
      <c r="Q127" s="105"/>
      <c r="R127" s="105"/>
      <c r="S127" s="105">
        <f t="shared" si="112"/>
        <v>287742176</v>
      </c>
      <c r="T127" s="105">
        <f t="shared" si="113"/>
        <v>287742176</v>
      </c>
      <c r="U127" s="105"/>
      <c r="V127" s="105"/>
      <c r="W127" s="105"/>
      <c r="X127" s="105"/>
      <c r="Y127" s="105"/>
      <c r="Z127" s="105">
        <f t="shared" si="114"/>
        <v>0</v>
      </c>
      <c r="AA127" s="105">
        <f t="shared" si="115"/>
        <v>287742176</v>
      </c>
      <c r="AB127" s="105"/>
      <c r="AC127" s="105"/>
      <c r="AD127" s="105"/>
      <c r="AE127" s="105"/>
      <c r="AF127" s="105"/>
      <c r="AG127" s="105">
        <f t="shared" si="116"/>
        <v>0</v>
      </c>
      <c r="AH127" s="105">
        <f t="shared" si="117"/>
        <v>287742176</v>
      </c>
      <c r="AI127" s="105">
        <v>287742176</v>
      </c>
      <c r="AJ127" s="732">
        <f t="shared" si="118"/>
        <v>100</v>
      </c>
    </row>
    <row r="128" spans="1:36" s="45" customFormat="1" ht="15.5" customHeight="1">
      <c r="A128" s="103"/>
      <c r="B128" s="271"/>
      <c r="C128" s="22"/>
      <c r="D128" s="22"/>
      <c r="E128" s="22"/>
      <c r="F128" s="694"/>
      <c r="G128" s="690"/>
      <c r="H128" s="689"/>
      <c r="I128" s="687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734"/>
    </row>
    <row r="129" spans="1:36" s="45" customFormat="1" ht="14.25" customHeight="1">
      <c r="A129" s="103"/>
      <c r="B129" s="271"/>
      <c r="C129" s="22"/>
      <c r="D129" s="22"/>
      <c r="E129" s="22"/>
      <c r="F129" s="20" t="s">
        <v>37</v>
      </c>
      <c r="G129" s="20"/>
      <c r="H129" s="4"/>
      <c r="I129" s="5"/>
      <c r="J129" s="101">
        <f>SUM(J119:J128)</f>
        <v>53947185</v>
      </c>
      <c r="K129" s="101">
        <f>SUM(K119:K128)</f>
        <v>13200000</v>
      </c>
      <c r="L129" s="101">
        <f>SUM(L119:L128)</f>
        <v>67147185</v>
      </c>
      <c r="M129" s="101">
        <f>SUM(M119:M128)</f>
        <v>288163703</v>
      </c>
      <c r="N129" s="101">
        <f t="shared" ref="N129" si="122">SUM(N119:N128)</f>
        <v>0</v>
      </c>
      <c r="O129" s="101">
        <f t="shared" ref="O129" si="123">SUM(O119:O128)</f>
        <v>0</v>
      </c>
      <c r="P129" s="101">
        <f t="shared" ref="P129" si="124">SUM(P119:P128)</f>
        <v>0</v>
      </c>
      <c r="Q129" s="101">
        <f t="shared" ref="Q129" si="125">SUM(Q119:Q128)</f>
        <v>0</v>
      </c>
      <c r="R129" s="101">
        <f t="shared" ref="R129" si="126">SUM(R119:R128)</f>
        <v>13094317</v>
      </c>
      <c r="S129" s="101">
        <f t="shared" ref="S129" si="127">SUM(S119:S128)</f>
        <v>301258020</v>
      </c>
      <c r="T129" s="101">
        <f t="shared" ref="T129" si="128">SUM(T119:T128)</f>
        <v>368405205</v>
      </c>
      <c r="U129" s="101"/>
      <c r="V129" s="101"/>
      <c r="W129" s="101"/>
      <c r="X129" s="101"/>
      <c r="Y129" s="101"/>
      <c r="Z129" s="101">
        <f t="shared" ref="Z129:AA129" si="129">SUM(Z119:Z128)</f>
        <v>0</v>
      </c>
      <c r="AA129" s="101">
        <f t="shared" si="129"/>
        <v>368405205</v>
      </c>
      <c r="AB129" s="101"/>
      <c r="AC129" s="101"/>
      <c r="AD129" s="101"/>
      <c r="AE129" s="101">
        <f t="shared" ref="AE129:AI129" si="130">SUM(AE119:AE128)</f>
        <v>0</v>
      </c>
      <c r="AF129" s="101">
        <f t="shared" si="130"/>
        <v>8363914</v>
      </c>
      <c r="AG129" s="101">
        <f t="shared" si="130"/>
        <v>8363914</v>
      </c>
      <c r="AH129" s="101">
        <f t="shared" si="130"/>
        <v>376769119</v>
      </c>
      <c r="AI129" s="101">
        <f t="shared" si="130"/>
        <v>377275283</v>
      </c>
      <c r="AJ129" s="733">
        <f>AI129/AH129*100</f>
        <v>100.13434328199283</v>
      </c>
    </row>
    <row r="130" spans="1:36" s="45" customFormat="1" ht="14">
      <c r="A130" s="103"/>
      <c r="B130" s="271"/>
      <c r="C130" s="22"/>
      <c r="D130" s="22"/>
      <c r="E130" s="22"/>
      <c r="F130" s="6"/>
      <c r="G130" s="6"/>
      <c r="H130" s="7"/>
      <c r="I130" s="8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734"/>
    </row>
    <row r="131" spans="1:36" s="45" customFormat="1" ht="15" customHeight="1">
      <c r="A131" s="695"/>
      <c r="B131" s="284"/>
      <c r="C131" s="111"/>
      <c r="D131" s="111"/>
      <c r="E131" s="111"/>
      <c r="F131" s="877" t="s">
        <v>251</v>
      </c>
      <c r="G131" s="877"/>
      <c r="H131" s="877"/>
      <c r="I131" s="878"/>
      <c r="J131" s="51">
        <f>J125</f>
        <v>415000</v>
      </c>
      <c r="K131" s="51">
        <f t="shared" ref="K131" si="131">K125</f>
        <v>0</v>
      </c>
      <c r="L131" s="51">
        <f>L125+L126</f>
        <v>415000</v>
      </c>
      <c r="M131" s="51">
        <f t="shared" ref="M131:V131" si="132">M125+M126</f>
        <v>421527</v>
      </c>
      <c r="N131" s="51">
        <f t="shared" si="132"/>
        <v>0</v>
      </c>
      <c r="O131" s="51">
        <f t="shared" si="132"/>
        <v>0</v>
      </c>
      <c r="P131" s="51">
        <f t="shared" si="132"/>
        <v>0</v>
      </c>
      <c r="Q131" s="51">
        <f t="shared" si="132"/>
        <v>0</v>
      </c>
      <c r="R131" s="51">
        <f t="shared" si="132"/>
        <v>0</v>
      </c>
      <c r="S131" s="51">
        <f t="shared" si="132"/>
        <v>421527</v>
      </c>
      <c r="T131" s="51">
        <f t="shared" si="132"/>
        <v>836527</v>
      </c>
      <c r="U131" s="51">
        <f t="shared" si="132"/>
        <v>0</v>
      </c>
      <c r="V131" s="51">
        <f t="shared" si="132"/>
        <v>0</v>
      </c>
      <c r="W131" s="51">
        <f t="shared" ref="W131:Z131" si="133">W125+W126</f>
        <v>0</v>
      </c>
      <c r="X131" s="51">
        <f t="shared" si="133"/>
        <v>0</v>
      </c>
      <c r="Y131" s="51">
        <f t="shared" si="133"/>
        <v>0</v>
      </c>
      <c r="Z131" s="51">
        <f t="shared" si="133"/>
        <v>0</v>
      </c>
      <c r="AA131" s="51">
        <f t="shared" ref="AA131:AG131" si="134">AA125+AA126</f>
        <v>836527</v>
      </c>
      <c r="AB131" s="51">
        <f t="shared" si="134"/>
        <v>0</v>
      </c>
      <c r="AC131" s="51">
        <f t="shared" si="134"/>
        <v>0</v>
      </c>
      <c r="AD131" s="51">
        <f t="shared" si="134"/>
        <v>0</v>
      </c>
      <c r="AE131" s="51">
        <f t="shared" si="134"/>
        <v>0</v>
      </c>
      <c r="AF131" s="51">
        <f t="shared" si="134"/>
        <v>0</v>
      </c>
      <c r="AG131" s="51">
        <f t="shared" si="134"/>
        <v>0</v>
      </c>
      <c r="AH131" s="51">
        <f t="shared" ref="AH131:AI131" si="135">AH125+AH126</f>
        <v>836527</v>
      </c>
      <c r="AI131" s="51">
        <f t="shared" si="135"/>
        <v>882182</v>
      </c>
      <c r="AJ131" s="737">
        <f>AI131/AH131*100</f>
        <v>105.4576839719459</v>
      </c>
    </row>
    <row r="132" spans="1:36" s="45" customFormat="1" ht="14">
      <c r="A132" s="103"/>
      <c r="B132" s="271"/>
      <c r="C132" s="22"/>
      <c r="D132" s="22"/>
      <c r="E132" s="22"/>
      <c r="F132" s="6"/>
      <c r="G132" s="6"/>
      <c r="H132" s="7"/>
      <c r="I132" s="8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734"/>
    </row>
    <row r="133" spans="1:36" s="45" customFormat="1" ht="15" customHeight="1">
      <c r="A133" s="695"/>
      <c r="B133" s="284"/>
      <c r="C133" s="111"/>
      <c r="D133" s="111"/>
      <c r="E133" s="111"/>
      <c r="F133" s="877" t="s">
        <v>200</v>
      </c>
      <c r="G133" s="877"/>
      <c r="H133" s="877"/>
      <c r="I133" s="878"/>
      <c r="J133" s="51">
        <f>J121+J118+J109+J93+J92+J91+J90+J87+J84+J75+J65+J55+J48+J41+J33+J24+J15</f>
        <v>1822268154</v>
      </c>
      <c r="K133" s="51">
        <f>K121+K118+K109+K93+K92+K91+K90+K87+K84+K75+K65+K55+K48+K41+K33+K24+K15</f>
        <v>293585767</v>
      </c>
      <c r="L133" s="51">
        <f>L121+L118+L109+L93+L92+L91+L90+L87+L84+L75+L65+L55+L48+L41+L33+L24+L15</f>
        <v>2115853921</v>
      </c>
      <c r="M133" s="51">
        <f>M121+M118+M109+M93+M92+M91+M90+M87+M84+M75+M62+M55+M48+M41+M33+M24+M15+M95+M127+M60+M58</f>
        <v>838525434</v>
      </c>
      <c r="N133" s="51">
        <f>N121+N118+N109+N93+N92+N91+N90+N87+N84+N75+N62+N55+N48+N41+N33+N24+N15+N95+N127+N60+N58</f>
        <v>0</v>
      </c>
      <c r="O133" s="51">
        <f>O121+O118+O109+O93+O92+O91+O90+O87+O84+O75+O62+O55+O48+O41+O33+O24+O15+O95+O127+O60+O58</f>
        <v>0</v>
      </c>
      <c r="P133" s="51">
        <f>P121+P118+P109+P93+P92+P91+P90+P87+P84+P75+P62+P55+P48+P41+P33+P24+P15+P95+P127+P60+P58</f>
        <v>0</v>
      </c>
      <c r="Q133" s="51">
        <f>Q121+Q118+Q109+Q93+Q92+Q91+Q90+Q87+Q84+Q75+Q62+Q55+Q48+Q41+Q33+Q24+Q15+Q95+Q127+Q60+Q58</f>
        <v>0</v>
      </c>
      <c r="R133" s="51">
        <f>R121+R118+R109+R93+R92+R91+R90+R87+R84+R75+R62+R55+R48+R41+R33+R24+R15+R95+R127+R60+R58+R122</f>
        <v>240651215</v>
      </c>
      <c r="S133" s="51">
        <f t="shared" ref="S133:X133" si="136">S121+S118+S109+S93+S92+S91+S90+S87+S84+S75+S62+S55+S48+S41+S33+S24+S15+S95+S127+S60+S58+S122+S94</f>
        <v>1079176649</v>
      </c>
      <c r="T133" s="51">
        <f t="shared" si="136"/>
        <v>3195030570</v>
      </c>
      <c r="U133" s="51">
        <f t="shared" si="136"/>
        <v>0</v>
      </c>
      <c r="V133" s="51">
        <f t="shared" si="136"/>
        <v>7764832</v>
      </c>
      <c r="W133" s="51">
        <f t="shared" si="136"/>
        <v>0</v>
      </c>
      <c r="X133" s="51">
        <f t="shared" si="136"/>
        <v>0</v>
      </c>
      <c r="Y133" s="51">
        <f>Y121+Y118+Y109+Y93+Y92+Y91+Y90+Y87+Y84+Y75+Y62+Y55+Y48+Y41+Y33+Y24+Y15+Y95+Y127+Y60+Y58+Y122+Y94+Y89</f>
        <v>216095062</v>
      </c>
      <c r="Z133" s="51">
        <f>Z121+Z118+Z109+Z93+Z92+Z91+Z90+Z87+Z84+Z75+Z62+Z55+Z48+Z41+Z33+Z24+Z15+Z95+Z127+Z60+Z58+Z122+Z94+Z89</f>
        <v>223859894</v>
      </c>
      <c r="AA133" s="51">
        <f>AA121+AA118+AA109+AA93+AA92+AA91+AA90+AA87+AA84+AA75+AA62+AA55+AA48+AA41+AA33+AA24+AA15+AA95+AA127+AA60+AA58+AA122+AA94+AA89</f>
        <v>3418890464</v>
      </c>
      <c r="AB133" s="51">
        <f>AB121+AB118+AB109+AB93+AB92+AB91+AB90+AB87+AB84+AB75+AB62+AB55+AB48+AB41+AB33+AB24+AB15+AB95+AB127+AB60+AB58+AB122+AB94</f>
        <v>0</v>
      </c>
      <c r="AC133" s="51">
        <f>AC121+AC118+AC109+AC93+AC92+AC91+AC90+AC87+AC84+AC75+AC62+AC55+AC48+AC41+AC33+AC24+AC15+AC95+AC127+AC60+AC58+AC122+AC94+AC89+AC61</f>
        <v>165074973</v>
      </c>
      <c r="AD133" s="51">
        <f>AD121+AD118+AD109+AD93+AD92+AD91+AD90+AD87+AD84+AD75+AD62+AD55+AD48+AD41+AD33+AD24+AD15+AD95+AD127+AD60+AD58+AD122+AD94</f>
        <v>0</v>
      </c>
      <c r="AE133" s="51">
        <f>AE121+AE118+AE109+AE93+AE92+AE91+AE90+AE87+AE84+AE75+AE62+AE55+AE48+AE41+AE33+AE24+AE15+AE95+AE127+AE60+AE58+AE122+AE94</f>
        <v>0</v>
      </c>
      <c r="AF133" s="51">
        <f>AF121+AF118+AF109+AF93+AF92+AF91+AF90+AF87+AF84+AF75+AF62+AF55+AF48+AF41+AF33+AF24+AF15+AF95+AF127+AF60+AF58+AF122+AF94+AF89</f>
        <v>76674623</v>
      </c>
      <c r="AG133" s="51">
        <f>AG121+AG118+AG109+AG93+AG92+AG91+AG90+AG87+AG84+AG75+AG62+AG55+AG48+AG41+AG33+AG24+AG15+AG95+AG127+AG60+AG58+AG122+AG94+AG89</f>
        <v>241749596</v>
      </c>
      <c r="AH133" s="51">
        <f>AH121+AH118+AH109+AH93+AH92+AH91+AH90+AH87+AH84+AH75+AH62+AH55+AH48+AH41+AH33+AH24+AH15+AH95+AH127+AH60+AH58+AH122+AH94+AH89</f>
        <v>3660640060</v>
      </c>
      <c r="AI133" s="51">
        <f>AI121+AI118+AI109+AI93+AI92+AI91+AI90+AI87+AI84+AI75+AI62+AI55+AI48+AI41+AI33+AI24+AI15+AI95+AI127+AI60+AI58+AI122+AI94+AI89+AI61</f>
        <v>3652431277</v>
      </c>
      <c r="AJ133" s="737">
        <f>AI133/AH133*100</f>
        <v>99.775755527299779</v>
      </c>
    </row>
    <row r="134" spans="1:36" s="45" customFormat="1" ht="14">
      <c r="A134" s="103"/>
      <c r="B134" s="271"/>
      <c r="C134" s="22"/>
      <c r="D134" s="22"/>
      <c r="E134" s="22"/>
      <c r="F134" s="24"/>
      <c r="G134" s="25"/>
      <c r="H134" s="25"/>
      <c r="I134" s="25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734"/>
    </row>
    <row r="135" spans="1:36" s="45" customFormat="1" ht="15" customHeight="1">
      <c r="A135" s="695"/>
      <c r="B135" s="284"/>
      <c r="C135" s="111"/>
      <c r="D135" s="111"/>
      <c r="E135" s="111"/>
      <c r="F135" s="877" t="s">
        <v>201</v>
      </c>
      <c r="G135" s="877"/>
      <c r="H135" s="877"/>
      <c r="I135" s="878" t="s">
        <v>197</v>
      </c>
      <c r="J135" s="51">
        <f>J88+J123</f>
        <v>49296000</v>
      </c>
      <c r="K135" s="51">
        <f>K88+K123+K124</f>
        <v>13200000</v>
      </c>
      <c r="L135" s="51">
        <f>L88+L123+L124</f>
        <v>62496000</v>
      </c>
      <c r="M135" s="51">
        <f t="shared" ref="M135:T135" si="137">M88+M123+M124+M96+M63</f>
        <v>6668105</v>
      </c>
      <c r="N135" s="51">
        <f t="shared" si="137"/>
        <v>0</v>
      </c>
      <c r="O135" s="51">
        <f t="shared" si="137"/>
        <v>0</v>
      </c>
      <c r="P135" s="51">
        <f t="shared" si="137"/>
        <v>0</v>
      </c>
      <c r="Q135" s="51">
        <f t="shared" si="137"/>
        <v>0</v>
      </c>
      <c r="R135" s="51">
        <f t="shared" si="137"/>
        <v>0</v>
      </c>
      <c r="S135" s="51">
        <f t="shared" si="137"/>
        <v>6668105</v>
      </c>
      <c r="T135" s="51">
        <f t="shared" si="137"/>
        <v>69164105</v>
      </c>
      <c r="U135" s="51">
        <f t="shared" ref="U135:AH135" si="138">U88+U123+U124+U96+U63+U59</f>
        <v>0</v>
      </c>
      <c r="V135" s="51">
        <f t="shared" si="138"/>
        <v>0</v>
      </c>
      <c r="W135" s="51">
        <f t="shared" si="138"/>
        <v>0</v>
      </c>
      <c r="X135" s="51">
        <f t="shared" si="138"/>
        <v>0</v>
      </c>
      <c r="Y135" s="51">
        <f t="shared" si="138"/>
        <v>287350</v>
      </c>
      <c r="Z135" s="51">
        <f t="shared" si="138"/>
        <v>287350</v>
      </c>
      <c r="AA135" s="51">
        <f t="shared" si="138"/>
        <v>69451455</v>
      </c>
      <c r="AB135" s="51">
        <f t="shared" si="138"/>
        <v>0</v>
      </c>
      <c r="AC135" s="51">
        <f t="shared" si="138"/>
        <v>0</v>
      </c>
      <c r="AD135" s="51">
        <f t="shared" si="138"/>
        <v>0</v>
      </c>
      <c r="AE135" s="51">
        <f t="shared" si="138"/>
        <v>0</v>
      </c>
      <c r="AF135" s="51">
        <f t="shared" si="138"/>
        <v>7547319</v>
      </c>
      <c r="AG135" s="51">
        <f t="shared" si="138"/>
        <v>7547319</v>
      </c>
      <c r="AH135" s="51">
        <f t="shared" si="138"/>
        <v>76998774</v>
      </c>
      <c r="AI135" s="51">
        <f t="shared" ref="AI135" si="139">AI88+AI123+AI124+AI96+AI63+AI59</f>
        <v>76244735</v>
      </c>
      <c r="AJ135" s="737">
        <f>AI135/AH135*100</f>
        <v>99.020712979144321</v>
      </c>
    </row>
    <row r="136" spans="1:36" s="45" customFormat="1" ht="14.5" thickBot="1">
      <c r="A136" s="103"/>
      <c r="B136" s="271"/>
      <c r="C136" s="22"/>
      <c r="D136" s="22"/>
      <c r="E136" s="22"/>
      <c r="F136" s="272"/>
      <c r="G136" s="690"/>
      <c r="H136" s="689"/>
      <c r="I136" s="684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732"/>
    </row>
    <row r="137" spans="1:36" s="292" customFormat="1" ht="18" thickBot="1">
      <c r="A137" s="285"/>
      <c r="B137" s="286"/>
      <c r="C137" s="102"/>
      <c r="D137" s="102"/>
      <c r="E137" s="102"/>
      <c r="F137" s="287" t="s">
        <v>63</v>
      </c>
      <c r="G137" s="288"/>
      <c r="H137" s="289"/>
      <c r="I137" s="290"/>
      <c r="J137" s="291">
        <f>SUM(J131:J135)</f>
        <v>1871979154</v>
      </c>
      <c r="K137" s="291">
        <f t="shared" ref="K137:M137" si="140">SUM(K131:K135)</f>
        <v>306785767</v>
      </c>
      <c r="L137" s="854">
        <f t="shared" si="140"/>
        <v>2178764921</v>
      </c>
      <c r="M137" s="854">
        <f t="shared" si="140"/>
        <v>845615066</v>
      </c>
      <c r="N137" s="854">
        <f t="shared" ref="N137:V137" si="141">SUM(N131:N135)</f>
        <v>0</v>
      </c>
      <c r="O137" s="854">
        <f t="shared" si="141"/>
        <v>0</v>
      </c>
      <c r="P137" s="854">
        <f t="shared" si="141"/>
        <v>0</v>
      </c>
      <c r="Q137" s="854">
        <f t="shared" si="141"/>
        <v>0</v>
      </c>
      <c r="R137" s="854">
        <f t="shared" si="141"/>
        <v>240651215</v>
      </c>
      <c r="S137" s="854">
        <f t="shared" si="141"/>
        <v>1086266281</v>
      </c>
      <c r="T137" s="854">
        <f t="shared" si="141"/>
        <v>3265031202</v>
      </c>
      <c r="U137" s="854">
        <f t="shared" si="141"/>
        <v>0</v>
      </c>
      <c r="V137" s="854">
        <f t="shared" si="141"/>
        <v>7764832</v>
      </c>
      <c r="W137" s="854">
        <f t="shared" ref="W137:Z137" si="142">SUM(W131:W135)</f>
        <v>0</v>
      </c>
      <c r="X137" s="854">
        <f t="shared" si="142"/>
        <v>0</v>
      </c>
      <c r="Y137" s="854">
        <f t="shared" si="142"/>
        <v>216382412</v>
      </c>
      <c r="Z137" s="854">
        <f t="shared" si="142"/>
        <v>224147244</v>
      </c>
      <c r="AA137" s="854">
        <f t="shared" ref="AA137:AG137" si="143">SUM(AA131:AA135)</f>
        <v>3489178446</v>
      </c>
      <c r="AB137" s="854">
        <f t="shared" si="143"/>
        <v>0</v>
      </c>
      <c r="AC137" s="854">
        <f t="shared" si="143"/>
        <v>165074973</v>
      </c>
      <c r="AD137" s="854">
        <f t="shared" si="143"/>
        <v>0</v>
      </c>
      <c r="AE137" s="854">
        <f t="shared" si="143"/>
        <v>0</v>
      </c>
      <c r="AF137" s="854">
        <f t="shared" si="143"/>
        <v>84221942</v>
      </c>
      <c r="AG137" s="854">
        <f t="shared" si="143"/>
        <v>249296915</v>
      </c>
      <c r="AH137" s="854">
        <f t="shared" ref="AH137:AI137" si="144">SUM(AH131:AH135)</f>
        <v>3738475361</v>
      </c>
      <c r="AI137" s="854">
        <f t="shared" si="144"/>
        <v>3729558194</v>
      </c>
      <c r="AJ137" s="738">
        <f>AI137/AH137*100</f>
        <v>99.761475838706218</v>
      </c>
    </row>
    <row r="138" spans="1:36" s="294" customFormat="1" ht="21" customHeight="1">
      <c r="A138" s="103"/>
      <c r="B138" s="103"/>
      <c r="C138" s="104"/>
      <c r="D138" s="104"/>
      <c r="E138" s="22"/>
      <c r="F138" s="689"/>
      <c r="G138" s="690"/>
      <c r="H138" s="689"/>
      <c r="I138" s="293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732"/>
    </row>
    <row r="139" spans="1:36" s="45" customFormat="1" ht="18">
      <c r="A139" s="103"/>
      <c r="B139" s="43"/>
      <c r="C139" s="104"/>
      <c r="D139" s="104"/>
      <c r="E139" s="22"/>
      <c r="F139" s="265" t="s">
        <v>166</v>
      </c>
      <c r="G139" s="266"/>
      <c r="H139" s="267"/>
      <c r="I139" s="268"/>
      <c r="J139" s="105"/>
      <c r="K139" s="105"/>
      <c r="L139" s="105"/>
      <c r="M139" s="105"/>
      <c r="N139" s="105"/>
      <c r="O139" s="105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>
        <f>165074973-AC137</f>
        <v>0</v>
      </c>
      <c r="AD139" s="105"/>
      <c r="AE139" s="105"/>
      <c r="AF139" s="105"/>
      <c r="AG139" s="105"/>
      <c r="AH139" s="105"/>
      <c r="AI139" s="105"/>
      <c r="AJ139" s="732"/>
    </row>
    <row r="140" spans="1:36" s="45" customFormat="1" ht="13.5" customHeight="1">
      <c r="A140" s="103"/>
      <c r="B140" s="43"/>
      <c r="C140" s="104"/>
      <c r="D140" s="104"/>
      <c r="E140" s="22"/>
      <c r="F140" s="6"/>
      <c r="G140" s="6"/>
      <c r="H140" s="7"/>
      <c r="I140" s="8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734"/>
    </row>
    <row r="141" spans="1:36" s="45" customFormat="1" ht="14" customHeight="1">
      <c r="A141" s="103">
        <v>1</v>
      </c>
      <c r="B141" s="43"/>
      <c r="C141" s="104"/>
      <c r="D141" s="103">
        <v>3</v>
      </c>
      <c r="E141" s="22"/>
      <c r="F141" s="694" t="s">
        <v>372</v>
      </c>
      <c r="G141" s="690"/>
      <c r="H141" s="689"/>
      <c r="I141" s="684"/>
      <c r="J141" s="295"/>
      <c r="K141" s="295"/>
      <c r="L141" s="295"/>
      <c r="M141" s="295"/>
      <c r="N141" s="295"/>
      <c r="O141" s="295"/>
      <c r="P141" s="295"/>
      <c r="Q141" s="295"/>
      <c r="R141" s="295"/>
      <c r="S141" s="295"/>
      <c r="T141" s="295"/>
      <c r="U141" s="295"/>
      <c r="V141" s="295"/>
      <c r="W141" s="295"/>
      <c r="X141" s="295"/>
      <c r="Y141" s="295"/>
      <c r="Z141" s="295"/>
      <c r="AA141" s="295"/>
      <c r="AB141" s="295"/>
      <c r="AC141" s="295"/>
      <c r="AD141" s="295"/>
      <c r="AE141" s="295"/>
      <c r="AF141" s="295"/>
      <c r="AG141" s="295"/>
      <c r="AH141" s="295"/>
      <c r="AI141" s="295"/>
      <c r="AJ141" s="739"/>
    </row>
    <row r="142" spans="1:36" s="45" customFormat="1" ht="14" customHeight="1">
      <c r="A142" s="103"/>
      <c r="B142" s="43">
        <v>1</v>
      </c>
      <c r="C142" s="104"/>
      <c r="D142" s="104"/>
      <c r="E142" s="22"/>
      <c r="F142" s="694"/>
      <c r="G142" s="690" t="s">
        <v>279</v>
      </c>
      <c r="H142" s="689"/>
      <c r="I142" s="684"/>
      <c r="J142" s="295"/>
      <c r="K142" s="295"/>
      <c r="L142" s="295"/>
      <c r="M142" s="295"/>
      <c r="N142" s="295"/>
      <c r="O142" s="295"/>
      <c r="P142" s="295"/>
      <c r="Q142" s="295"/>
      <c r="R142" s="295"/>
      <c r="S142" s="295"/>
      <c r="T142" s="295"/>
      <c r="U142" s="295"/>
      <c r="V142" s="295"/>
      <c r="W142" s="295"/>
      <c r="X142" s="295"/>
      <c r="Y142" s="295"/>
      <c r="Z142" s="295"/>
      <c r="AA142" s="295"/>
      <c r="AB142" s="295"/>
      <c r="AC142" s="295"/>
      <c r="AD142" s="295"/>
      <c r="AE142" s="295"/>
      <c r="AF142" s="295"/>
      <c r="AG142" s="295"/>
      <c r="AH142" s="295"/>
      <c r="AI142" s="295"/>
      <c r="AJ142" s="739"/>
    </row>
    <row r="143" spans="1:36" s="45" customFormat="1" ht="14" customHeight="1">
      <c r="A143" s="103"/>
      <c r="B143" s="43"/>
      <c r="C143" s="104">
        <v>1</v>
      </c>
      <c r="D143" s="104"/>
      <c r="E143" s="22" t="s">
        <v>198</v>
      </c>
      <c r="F143" s="694"/>
      <c r="G143" s="690"/>
      <c r="H143" s="858" t="s">
        <v>91</v>
      </c>
      <c r="I143" s="859"/>
      <c r="J143" s="105">
        <v>980000000</v>
      </c>
      <c r="K143" s="105"/>
      <c r="L143" s="105">
        <f>SUM(J143:K143)</f>
        <v>980000000</v>
      </c>
      <c r="M143" s="105"/>
      <c r="N143" s="105"/>
      <c r="O143" s="105"/>
      <c r="P143" s="105"/>
      <c r="Q143" s="105"/>
      <c r="R143" s="105"/>
      <c r="S143" s="105">
        <f t="shared" ref="S143:S144" si="145">SUM(M143:R143)</f>
        <v>0</v>
      </c>
      <c r="T143" s="105">
        <f t="shared" ref="T143:T144" si="146">S143+L143</f>
        <v>980000000</v>
      </c>
      <c r="U143" s="105"/>
      <c r="V143" s="105"/>
      <c r="W143" s="105"/>
      <c r="X143" s="105"/>
      <c r="Y143" s="105"/>
      <c r="Z143" s="105">
        <f>SUM(U143:Y143)</f>
        <v>0</v>
      </c>
      <c r="AA143" s="105">
        <f>Z143+T143</f>
        <v>980000000</v>
      </c>
      <c r="AB143" s="105"/>
      <c r="AC143" s="105"/>
      <c r="AD143" s="105"/>
      <c r="AE143" s="105"/>
      <c r="AF143" s="105"/>
      <c r="AG143" s="105">
        <f>SUM(AB143:AF143)</f>
        <v>0</v>
      </c>
      <c r="AH143" s="105">
        <f>AG143+AA143</f>
        <v>980000000</v>
      </c>
      <c r="AI143" s="105">
        <v>1043966507</v>
      </c>
      <c r="AJ143" s="732">
        <f>AI143/AH143*100</f>
        <v>106.52719459183673</v>
      </c>
    </row>
    <row r="144" spans="1:36" s="45" customFormat="1" ht="14" customHeight="1">
      <c r="A144" s="103"/>
      <c r="B144" s="43"/>
      <c r="C144" s="104">
        <v>2</v>
      </c>
      <c r="D144" s="104"/>
      <c r="E144" s="22" t="s">
        <v>198</v>
      </c>
      <c r="F144" s="690"/>
      <c r="G144" s="690"/>
      <c r="H144" s="689" t="s">
        <v>355</v>
      </c>
      <c r="I144" s="684"/>
      <c r="J144" s="105">
        <v>100000</v>
      </c>
      <c r="K144" s="105"/>
      <c r="L144" s="105">
        <f>SUM(J144:K144)</f>
        <v>100000</v>
      </c>
      <c r="M144" s="105"/>
      <c r="N144" s="105"/>
      <c r="O144" s="105"/>
      <c r="P144" s="105"/>
      <c r="Q144" s="105"/>
      <c r="R144" s="105"/>
      <c r="S144" s="105">
        <f t="shared" si="145"/>
        <v>0</v>
      </c>
      <c r="T144" s="105">
        <f t="shared" si="146"/>
        <v>100000</v>
      </c>
      <c r="U144" s="105"/>
      <c r="V144" s="105"/>
      <c r="W144" s="105"/>
      <c r="X144" s="105"/>
      <c r="Y144" s="105"/>
      <c r="Z144" s="105">
        <f>SUM(U144:Y144)</f>
        <v>0</v>
      </c>
      <c r="AA144" s="105">
        <f>Z144+T144</f>
        <v>100000</v>
      </c>
      <c r="AB144" s="105"/>
      <c r="AC144" s="105"/>
      <c r="AD144" s="105"/>
      <c r="AE144" s="105"/>
      <c r="AF144" s="105"/>
      <c r="AG144" s="105">
        <f>SUM(AB144:AF144)</f>
        <v>0</v>
      </c>
      <c r="AH144" s="105">
        <f>AG144+AA144</f>
        <v>100000</v>
      </c>
      <c r="AI144" s="105">
        <v>755376</v>
      </c>
      <c r="AJ144" s="732">
        <f>AI144/AH144*100</f>
        <v>755.37599999999998</v>
      </c>
    </row>
    <row r="145" spans="1:36" s="45" customFormat="1" ht="8.5" customHeight="1">
      <c r="A145" s="103"/>
      <c r="B145" s="43"/>
      <c r="C145" s="104"/>
      <c r="D145" s="104"/>
      <c r="E145" s="22"/>
      <c r="F145" s="690"/>
      <c r="G145" s="690"/>
      <c r="H145" s="689"/>
      <c r="I145" s="684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732"/>
    </row>
    <row r="146" spans="1:36" s="45" customFormat="1" ht="14" customHeight="1">
      <c r="A146" s="103"/>
      <c r="B146" s="271"/>
      <c r="C146" s="22"/>
      <c r="D146" s="22"/>
      <c r="E146" s="22"/>
      <c r="F146" s="902" t="s">
        <v>38</v>
      </c>
      <c r="G146" s="903"/>
      <c r="H146" s="903"/>
      <c r="I146" s="904"/>
      <c r="J146" s="296">
        <f>SUM(J143:J145)</f>
        <v>980100000</v>
      </c>
      <c r="K146" s="296"/>
      <c r="L146" s="296">
        <f>SUM(L143:L145)</f>
        <v>980100000</v>
      </c>
      <c r="M146" s="296">
        <f t="shared" ref="M146:T146" si="147">SUM(M143:M145)</f>
        <v>0</v>
      </c>
      <c r="N146" s="296">
        <f t="shared" si="147"/>
        <v>0</v>
      </c>
      <c r="O146" s="296">
        <f t="shared" si="147"/>
        <v>0</v>
      </c>
      <c r="P146" s="296">
        <f t="shared" si="147"/>
        <v>0</v>
      </c>
      <c r="Q146" s="296">
        <f t="shared" si="147"/>
        <v>0</v>
      </c>
      <c r="R146" s="296">
        <f t="shared" si="147"/>
        <v>0</v>
      </c>
      <c r="S146" s="296">
        <f t="shared" si="147"/>
        <v>0</v>
      </c>
      <c r="T146" s="296">
        <f t="shared" si="147"/>
        <v>980100000</v>
      </c>
      <c r="U146" s="296"/>
      <c r="V146" s="296"/>
      <c r="W146" s="296"/>
      <c r="X146" s="296"/>
      <c r="Y146" s="296"/>
      <c r="Z146" s="296">
        <f t="shared" ref="Z146:AA146" si="148">SUM(Z143:Z145)</f>
        <v>0</v>
      </c>
      <c r="AA146" s="296">
        <f t="shared" si="148"/>
        <v>980100000</v>
      </c>
      <c r="AB146" s="296"/>
      <c r="AC146" s="296"/>
      <c r="AD146" s="296"/>
      <c r="AE146" s="296"/>
      <c r="AF146" s="296"/>
      <c r="AG146" s="296">
        <f t="shared" ref="AG146:AI146" si="149">SUM(AG143:AG145)</f>
        <v>0</v>
      </c>
      <c r="AH146" s="296">
        <f t="shared" si="149"/>
        <v>980100000</v>
      </c>
      <c r="AI146" s="296">
        <f t="shared" si="149"/>
        <v>1044721883</v>
      </c>
      <c r="AJ146" s="740">
        <f>AI146/AH146*100</f>
        <v>106.5933968982757</v>
      </c>
    </row>
    <row r="147" spans="1:36" s="45" customFormat="1" ht="14" customHeight="1">
      <c r="A147" s="103"/>
      <c r="B147" s="43"/>
      <c r="C147" s="104"/>
      <c r="D147" s="104"/>
      <c r="E147" s="22"/>
      <c r="F147" s="8"/>
      <c r="G147" s="28"/>
      <c r="H147" s="7"/>
      <c r="I147" s="68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741"/>
    </row>
    <row r="148" spans="1:36" s="45" customFormat="1" ht="14" customHeight="1">
      <c r="A148" s="103"/>
      <c r="B148" s="43">
        <v>2</v>
      </c>
      <c r="C148" s="104"/>
      <c r="D148" s="104"/>
      <c r="E148" s="22"/>
      <c r="F148" s="694"/>
      <c r="G148" s="690" t="s">
        <v>280</v>
      </c>
      <c r="H148" s="689"/>
      <c r="I148" s="684"/>
      <c r="J148" s="105"/>
      <c r="K148" s="105"/>
      <c r="L148" s="105"/>
      <c r="M148" s="105"/>
      <c r="N148" s="105"/>
      <c r="O148" s="105"/>
      <c r="P148" s="105"/>
      <c r="Q148" s="105"/>
      <c r="R148" s="105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732"/>
    </row>
    <row r="149" spans="1:36" s="45" customFormat="1" ht="14" customHeight="1">
      <c r="A149" s="103"/>
      <c r="B149" s="43"/>
      <c r="C149" s="104">
        <v>1</v>
      </c>
      <c r="D149" s="104"/>
      <c r="E149" s="22" t="s">
        <v>199</v>
      </c>
      <c r="F149" s="694"/>
      <c r="G149" s="690"/>
      <c r="H149" s="858" t="s">
        <v>159</v>
      </c>
      <c r="I149" s="859"/>
      <c r="J149" s="105">
        <v>847353026</v>
      </c>
      <c r="K149" s="105"/>
      <c r="L149" s="105">
        <f>SUM(J149:K149)</f>
        <v>847353026</v>
      </c>
      <c r="M149" s="105"/>
      <c r="N149" s="105"/>
      <c r="O149" s="105"/>
      <c r="P149" s="105"/>
      <c r="Q149" s="105"/>
      <c r="R149" s="105"/>
      <c r="S149" s="105">
        <f t="shared" ref="S149:S150" si="150">SUM(M149:R149)</f>
        <v>0</v>
      </c>
      <c r="T149" s="105">
        <f t="shared" ref="T149:T150" si="151">S149+L149</f>
        <v>847353026</v>
      </c>
      <c r="U149" s="105"/>
      <c r="V149" s="105"/>
      <c r="W149" s="105"/>
      <c r="X149" s="105"/>
      <c r="Y149" s="105"/>
      <c r="Z149" s="105">
        <f>SUM(U149:Y149)</f>
        <v>0</v>
      </c>
      <c r="AA149" s="105">
        <f>Z149+T149</f>
        <v>847353026</v>
      </c>
      <c r="AB149" s="105"/>
      <c r="AC149" s="105"/>
      <c r="AD149" s="105"/>
      <c r="AE149" s="105"/>
      <c r="AF149" s="105"/>
      <c r="AG149" s="105">
        <f>SUM(AB149:AF149)</f>
        <v>0</v>
      </c>
      <c r="AH149" s="105">
        <f t="shared" ref="AH149:AH150" si="152">AG149+AA149</f>
        <v>847353026</v>
      </c>
      <c r="AI149" s="105">
        <v>847353026</v>
      </c>
      <c r="AJ149" s="732">
        <f t="shared" ref="AJ149:AJ150" si="153">AI149/AH149*100</f>
        <v>100</v>
      </c>
    </row>
    <row r="150" spans="1:36" s="45" customFormat="1" ht="16.5" customHeight="1">
      <c r="A150" s="103"/>
      <c r="B150" s="43"/>
      <c r="C150" s="104">
        <v>1</v>
      </c>
      <c r="D150" s="104"/>
      <c r="E150" s="22" t="s">
        <v>198</v>
      </c>
      <c r="F150" s="694"/>
      <c r="G150" s="690"/>
      <c r="H150" s="858" t="s">
        <v>159</v>
      </c>
      <c r="I150" s="859"/>
      <c r="J150" s="105">
        <v>2402646974</v>
      </c>
      <c r="K150" s="105"/>
      <c r="L150" s="105">
        <f>SUM(J150:K150)</f>
        <v>2402646974</v>
      </c>
      <c r="M150" s="105"/>
      <c r="N150" s="105"/>
      <c r="O150" s="105"/>
      <c r="P150" s="105"/>
      <c r="Q150" s="105"/>
      <c r="R150" s="105"/>
      <c r="S150" s="105">
        <f t="shared" si="150"/>
        <v>0</v>
      </c>
      <c r="T150" s="105">
        <f t="shared" si="151"/>
        <v>2402646974</v>
      </c>
      <c r="U150" s="105"/>
      <c r="V150" s="105"/>
      <c r="W150" s="105"/>
      <c r="X150" s="105"/>
      <c r="Y150" s="105"/>
      <c r="Z150" s="105">
        <f>SUM(U150:Y150)</f>
        <v>0</v>
      </c>
      <c r="AA150" s="105">
        <f>Z150+T150</f>
        <v>2402646974</v>
      </c>
      <c r="AB150" s="105"/>
      <c r="AC150" s="105">
        <v>31505394</v>
      </c>
      <c r="AD150" s="105"/>
      <c r="AE150" s="105"/>
      <c r="AF150" s="105"/>
      <c r="AG150" s="105">
        <f>SUM(AB150:AF150)</f>
        <v>31505394</v>
      </c>
      <c r="AH150" s="105">
        <f t="shared" si="152"/>
        <v>2434152368</v>
      </c>
      <c r="AI150" s="105">
        <v>2577467134</v>
      </c>
      <c r="AJ150" s="732">
        <f t="shared" si="153"/>
        <v>105.8876661906647</v>
      </c>
    </row>
    <row r="151" spans="1:36" s="45" customFormat="1" ht="14">
      <c r="A151" s="103"/>
      <c r="B151" s="43"/>
      <c r="C151" s="104"/>
      <c r="D151" s="104"/>
      <c r="E151" s="22"/>
      <c r="F151" s="690"/>
      <c r="G151" s="690"/>
      <c r="H151" s="689"/>
      <c r="I151" s="684"/>
      <c r="J151" s="105"/>
      <c r="K151" s="105"/>
      <c r="L151" s="105"/>
      <c r="M151" s="105"/>
      <c r="N151" s="105"/>
      <c r="O151" s="105"/>
      <c r="P151" s="105"/>
      <c r="Q151" s="105"/>
      <c r="R151" s="105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732"/>
    </row>
    <row r="152" spans="1:36" s="45" customFormat="1" ht="16.5" customHeight="1">
      <c r="A152" s="103"/>
      <c r="B152" s="271"/>
      <c r="C152" s="22"/>
      <c r="D152" s="22"/>
      <c r="E152" s="22"/>
      <c r="F152" s="902" t="s">
        <v>38</v>
      </c>
      <c r="G152" s="903"/>
      <c r="H152" s="903"/>
      <c r="I152" s="904"/>
      <c r="J152" s="296">
        <f>SUM(J149:J151)</f>
        <v>3250000000</v>
      </c>
      <c r="K152" s="296"/>
      <c r="L152" s="296">
        <f>SUM(L149:L151)</f>
        <v>3250000000</v>
      </c>
      <c r="M152" s="296">
        <f t="shared" ref="M152:T152" si="154">SUM(M149:M151)</f>
        <v>0</v>
      </c>
      <c r="N152" s="296">
        <f t="shared" si="154"/>
        <v>0</v>
      </c>
      <c r="O152" s="296">
        <f t="shared" si="154"/>
        <v>0</v>
      </c>
      <c r="P152" s="296">
        <f t="shared" si="154"/>
        <v>0</v>
      </c>
      <c r="Q152" s="296">
        <f t="shared" si="154"/>
        <v>0</v>
      </c>
      <c r="R152" s="296">
        <f t="shared" si="154"/>
        <v>0</v>
      </c>
      <c r="S152" s="296">
        <f t="shared" si="154"/>
        <v>0</v>
      </c>
      <c r="T152" s="296">
        <f t="shared" si="154"/>
        <v>3250000000</v>
      </c>
      <c r="U152" s="296"/>
      <c r="V152" s="296"/>
      <c r="W152" s="296"/>
      <c r="X152" s="296"/>
      <c r="Y152" s="296"/>
      <c r="Z152" s="296">
        <f t="shared" ref="Z152:AC152" si="155">SUM(Z149:Z151)</f>
        <v>0</v>
      </c>
      <c r="AA152" s="296">
        <f t="shared" si="155"/>
        <v>3250000000</v>
      </c>
      <c r="AB152" s="296"/>
      <c r="AC152" s="296">
        <f t="shared" si="155"/>
        <v>31505394</v>
      </c>
      <c r="AD152" s="296"/>
      <c r="AE152" s="296"/>
      <c r="AF152" s="296"/>
      <c r="AG152" s="296">
        <f t="shared" ref="AG152:AI152" si="156">SUM(AG149:AG151)</f>
        <v>31505394</v>
      </c>
      <c r="AH152" s="296">
        <f t="shared" si="156"/>
        <v>3281505394</v>
      </c>
      <c r="AI152" s="296">
        <f t="shared" si="156"/>
        <v>3424820160</v>
      </c>
      <c r="AJ152" s="740">
        <f>AI152/AH152*100</f>
        <v>104.3673481769081</v>
      </c>
    </row>
    <row r="153" spans="1:36" s="45" customFormat="1" ht="8" customHeight="1">
      <c r="A153" s="103"/>
      <c r="B153" s="43"/>
      <c r="C153" s="104"/>
      <c r="D153" s="104"/>
      <c r="E153" s="22"/>
      <c r="F153" s="8"/>
      <c r="G153" s="28"/>
      <c r="H153" s="7"/>
      <c r="I153" s="68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741"/>
    </row>
    <row r="154" spans="1:36" s="45" customFormat="1" ht="16.5" customHeight="1">
      <c r="A154" s="103"/>
      <c r="B154" s="43">
        <v>3</v>
      </c>
      <c r="C154" s="104"/>
      <c r="D154" s="104"/>
      <c r="E154" s="22"/>
      <c r="F154" s="694"/>
      <c r="G154" s="690" t="s">
        <v>281</v>
      </c>
      <c r="H154" s="689"/>
      <c r="I154" s="684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732"/>
    </row>
    <row r="155" spans="1:36" s="45" customFormat="1" ht="16.5" customHeight="1">
      <c r="A155" s="103"/>
      <c r="B155" s="43"/>
      <c r="C155" s="104">
        <v>1</v>
      </c>
      <c r="D155" s="104"/>
      <c r="E155" s="22" t="s">
        <v>199</v>
      </c>
      <c r="F155" s="694"/>
      <c r="G155" s="690"/>
      <c r="H155" s="858" t="s">
        <v>11</v>
      </c>
      <c r="I155" s="859"/>
      <c r="J155" s="105">
        <v>144000000</v>
      </c>
      <c r="K155" s="105"/>
      <c r="L155" s="105">
        <f>SUM(J155:K155)</f>
        <v>144000000</v>
      </c>
      <c r="M155" s="105"/>
      <c r="N155" s="105"/>
      <c r="O155" s="105"/>
      <c r="P155" s="105"/>
      <c r="Q155" s="105"/>
      <c r="R155" s="105"/>
      <c r="S155" s="105">
        <f t="shared" ref="S155" si="157">SUM(M155:R155)</f>
        <v>0</v>
      </c>
      <c r="T155" s="105">
        <f t="shared" ref="T155" si="158">S155+L155</f>
        <v>144000000</v>
      </c>
      <c r="U155" s="105"/>
      <c r="V155" s="105"/>
      <c r="W155" s="105"/>
      <c r="X155" s="105"/>
      <c r="Y155" s="105"/>
      <c r="Z155" s="105">
        <f>SUM(U155:Y155)</f>
        <v>0</v>
      </c>
      <c r="AA155" s="105">
        <f>Z155+T155</f>
        <v>144000000</v>
      </c>
      <c r="AB155" s="105"/>
      <c r="AC155" s="105"/>
      <c r="AD155" s="105"/>
      <c r="AE155" s="105"/>
      <c r="AF155" s="105"/>
      <c r="AG155" s="105">
        <f>SUM(AB155:AF155)</f>
        <v>0</v>
      </c>
      <c r="AH155" s="105">
        <f>AG155+AA155</f>
        <v>144000000</v>
      </c>
      <c r="AI155" s="105">
        <v>160152093</v>
      </c>
      <c r="AJ155" s="732">
        <f>AI155/AH155*100</f>
        <v>111.21673125</v>
      </c>
    </row>
    <row r="156" spans="1:36" s="45" customFormat="1" ht="16.5" customHeight="1">
      <c r="A156" s="103"/>
      <c r="B156" s="43"/>
      <c r="C156" s="104"/>
      <c r="D156" s="104"/>
      <c r="E156" s="22"/>
      <c r="F156" s="690"/>
      <c r="G156" s="690"/>
      <c r="H156" s="689"/>
      <c r="I156" s="684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732"/>
    </row>
    <row r="157" spans="1:36" s="45" customFormat="1" ht="16.5" customHeight="1">
      <c r="A157" s="103"/>
      <c r="B157" s="271"/>
      <c r="C157" s="22"/>
      <c r="D157" s="22"/>
      <c r="E157" s="22"/>
      <c r="F157" s="902" t="s">
        <v>38</v>
      </c>
      <c r="G157" s="903"/>
      <c r="H157" s="903"/>
      <c r="I157" s="904"/>
      <c r="J157" s="296">
        <f>SUM(J155:J156)</f>
        <v>144000000</v>
      </c>
      <c r="K157" s="296"/>
      <c r="L157" s="296">
        <f>SUM(L155:L156)</f>
        <v>144000000</v>
      </c>
      <c r="M157" s="296">
        <f t="shared" ref="M157:T157" si="159">SUM(M155:M156)</f>
        <v>0</v>
      </c>
      <c r="N157" s="296">
        <f t="shared" si="159"/>
        <v>0</v>
      </c>
      <c r="O157" s="296">
        <f t="shared" si="159"/>
        <v>0</v>
      </c>
      <c r="P157" s="296">
        <f t="shared" si="159"/>
        <v>0</v>
      </c>
      <c r="Q157" s="296">
        <f t="shared" si="159"/>
        <v>0</v>
      </c>
      <c r="R157" s="296">
        <f t="shared" si="159"/>
        <v>0</v>
      </c>
      <c r="S157" s="296">
        <f t="shared" si="159"/>
        <v>0</v>
      </c>
      <c r="T157" s="296">
        <f t="shared" si="159"/>
        <v>144000000</v>
      </c>
      <c r="U157" s="296"/>
      <c r="V157" s="296"/>
      <c r="W157" s="296"/>
      <c r="X157" s="296"/>
      <c r="Y157" s="296"/>
      <c r="Z157" s="296">
        <f t="shared" ref="Z157:AA157" si="160">SUM(Z155:Z156)</f>
        <v>0</v>
      </c>
      <c r="AA157" s="296">
        <f t="shared" si="160"/>
        <v>144000000</v>
      </c>
      <c r="AB157" s="296"/>
      <c r="AC157" s="296"/>
      <c r="AD157" s="296"/>
      <c r="AE157" s="296"/>
      <c r="AF157" s="296"/>
      <c r="AG157" s="296">
        <f t="shared" ref="AG157:AI157" si="161">SUM(AG155:AG156)</f>
        <v>0</v>
      </c>
      <c r="AH157" s="296">
        <f t="shared" si="161"/>
        <v>144000000</v>
      </c>
      <c r="AI157" s="296">
        <f t="shared" si="161"/>
        <v>160152093</v>
      </c>
      <c r="AJ157" s="740">
        <f>AI157/AH157*100</f>
        <v>111.21673125</v>
      </c>
    </row>
    <row r="158" spans="1:36" s="45" customFormat="1" ht="15.5" customHeight="1">
      <c r="A158" s="103"/>
      <c r="B158" s="43"/>
      <c r="C158" s="104"/>
      <c r="D158" s="104"/>
      <c r="E158" s="22"/>
      <c r="F158" s="8"/>
      <c r="G158" s="28"/>
      <c r="H158" s="7"/>
      <c r="I158" s="68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741"/>
    </row>
    <row r="159" spans="1:36" s="45" customFormat="1" ht="15.5" customHeight="1">
      <c r="A159" s="103"/>
      <c r="B159" s="43">
        <v>4</v>
      </c>
      <c r="C159" s="104"/>
      <c r="D159" s="104"/>
      <c r="E159" s="22"/>
      <c r="F159" s="694"/>
      <c r="G159" s="690" t="s">
        <v>282</v>
      </c>
      <c r="H159" s="689"/>
      <c r="I159" s="684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741"/>
    </row>
    <row r="160" spans="1:36" s="45" customFormat="1" ht="15.5" customHeight="1">
      <c r="A160" s="103"/>
      <c r="B160" s="43"/>
      <c r="C160" s="104">
        <v>1</v>
      </c>
      <c r="D160" s="104"/>
      <c r="E160" s="22" t="s">
        <v>198</v>
      </c>
      <c r="F160" s="694"/>
      <c r="G160" s="690"/>
      <c r="H160" s="858" t="s">
        <v>96</v>
      </c>
      <c r="I160" s="859"/>
      <c r="J160" s="105">
        <v>220000000</v>
      </c>
      <c r="K160" s="47"/>
      <c r="L160" s="105">
        <f>SUM(J160:K160)</f>
        <v>220000000</v>
      </c>
      <c r="M160" s="105"/>
      <c r="N160" s="105"/>
      <c r="O160" s="105"/>
      <c r="P160" s="105"/>
      <c r="Q160" s="105"/>
      <c r="R160" s="105"/>
      <c r="S160" s="105">
        <f t="shared" ref="S160" si="162">SUM(M160:R160)</f>
        <v>0</v>
      </c>
      <c r="T160" s="105">
        <f t="shared" ref="T160" si="163">S160+L160</f>
        <v>220000000</v>
      </c>
      <c r="U160" s="105"/>
      <c r="V160" s="105"/>
      <c r="W160" s="105"/>
      <c r="X160" s="105"/>
      <c r="Y160" s="105"/>
      <c r="Z160" s="105">
        <f>SUM(U160:Y160)</f>
        <v>0</v>
      </c>
      <c r="AA160" s="105">
        <f>Z160+T160</f>
        <v>220000000</v>
      </c>
      <c r="AB160" s="105"/>
      <c r="AC160" s="105"/>
      <c r="AD160" s="105"/>
      <c r="AE160" s="105"/>
      <c r="AF160" s="105"/>
      <c r="AG160" s="105">
        <f>SUM(AB160:AF160)</f>
        <v>0</v>
      </c>
      <c r="AH160" s="105">
        <f>AG160+AA160</f>
        <v>220000000</v>
      </c>
      <c r="AI160" s="105">
        <v>242736332</v>
      </c>
      <c r="AJ160" s="732">
        <f>AI160/AH160*100</f>
        <v>110.33469636363635</v>
      </c>
    </row>
    <row r="161" spans="1:36" s="45" customFormat="1" ht="15.5" customHeight="1">
      <c r="A161" s="103"/>
      <c r="B161" s="43"/>
      <c r="C161" s="104"/>
      <c r="D161" s="104"/>
      <c r="E161" s="22"/>
      <c r="F161" s="690"/>
      <c r="G161" s="690"/>
      <c r="H161" s="689"/>
      <c r="I161" s="684"/>
      <c r="J161" s="105"/>
      <c r="K161" s="47"/>
      <c r="L161" s="105"/>
      <c r="M161" s="105"/>
      <c r="N161" s="105"/>
      <c r="O161" s="105"/>
      <c r="P161" s="105"/>
      <c r="Q161" s="105"/>
      <c r="R161" s="105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732"/>
    </row>
    <row r="162" spans="1:36" s="45" customFormat="1" ht="15.5" customHeight="1">
      <c r="A162" s="103"/>
      <c r="B162" s="43"/>
      <c r="C162" s="104"/>
      <c r="D162" s="104"/>
      <c r="E162" s="22"/>
      <c r="F162" s="902" t="s">
        <v>38</v>
      </c>
      <c r="G162" s="903"/>
      <c r="H162" s="903"/>
      <c r="I162" s="904"/>
      <c r="J162" s="296">
        <f>SUM(J160)</f>
        <v>220000000</v>
      </c>
      <c r="K162" s="296"/>
      <c r="L162" s="296">
        <f>SUM(L160)</f>
        <v>220000000</v>
      </c>
      <c r="M162" s="296">
        <f t="shared" ref="M162:T162" si="164">SUM(M160)</f>
        <v>0</v>
      </c>
      <c r="N162" s="296">
        <f t="shared" si="164"/>
        <v>0</v>
      </c>
      <c r="O162" s="296">
        <f t="shared" si="164"/>
        <v>0</v>
      </c>
      <c r="P162" s="296">
        <f t="shared" si="164"/>
        <v>0</v>
      </c>
      <c r="Q162" s="296">
        <f t="shared" si="164"/>
        <v>0</v>
      </c>
      <c r="R162" s="296">
        <f t="shared" si="164"/>
        <v>0</v>
      </c>
      <c r="S162" s="296">
        <f t="shared" si="164"/>
        <v>0</v>
      </c>
      <c r="T162" s="296">
        <f t="shared" si="164"/>
        <v>220000000</v>
      </c>
      <c r="U162" s="296"/>
      <c r="V162" s="296"/>
      <c r="W162" s="296"/>
      <c r="X162" s="296"/>
      <c r="Y162" s="296"/>
      <c r="Z162" s="296">
        <f t="shared" ref="Z162:AA162" si="165">SUM(Z160)</f>
        <v>0</v>
      </c>
      <c r="AA162" s="296">
        <f t="shared" si="165"/>
        <v>220000000</v>
      </c>
      <c r="AB162" s="296"/>
      <c r="AC162" s="296"/>
      <c r="AD162" s="296"/>
      <c r="AE162" s="296"/>
      <c r="AF162" s="296"/>
      <c r="AG162" s="296">
        <f t="shared" ref="AG162:AI162" si="166">SUM(AG160)</f>
        <v>0</v>
      </c>
      <c r="AH162" s="296">
        <f t="shared" si="166"/>
        <v>220000000</v>
      </c>
      <c r="AI162" s="296">
        <f t="shared" si="166"/>
        <v>242736332</v>
      </c>
      <c r="AJ162" s="740">
        <f>AI162/AH162*100</f>
        <v>110.33469636363635</v>
      </c>
    </row>
    <row r="163" spans="1:36" s="45" customFormat="1" ht="15.5" customHeight="1">
      <c r="A163" s="103"/>
      <c r="B163" s="43"/>
      <c r="C163" s="104"/>
      <c r="D163" s="104"/>
      <c r="E163" s="22"/>
      <c r="F163" s="44"/>
      <c r="G163" s="44"/>
      <c r="H163" s="44"/>
      <c r="I163" s="44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734"/>
    </row>
    <row r="164" spans="1:36" s="45" customFormat="1" ht="15.5" customHeight="1">
      <c r="A164" s="103"/>
      <c r="B164" s="43">
        <v>5</v>
      </c>
      <c r="C164" s="104"/>
      <c r="D164" s="104"/>
      <c r="E164" s="22"/>
      <c r="F164" s="44"/>
      <c r="G164" s="9" t="s">
        <v>423</v>
      </c>
      <c r="H164" s="44"/>
      <c r="I164" s="44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734"/>
    </row>
    <row r="165" spans="1:36" s="45" customFormat="1" ht="15.5" customHeight="1">
      <c r="A165" s="103"/>
      <c r="B165" s="43"/>
      <c r="C165" s="104">
        <v>1</v>
      </c>
      <c r="D165" s="104"/>
      <c r="E165" s="22" t="s">
        <v>199</v>
      </c>
      <c r="F165" s="44"/>
      <c r="G165" s="44"/>
      <c r="H165" s="858" t="s">
        <v>540</v>
      </c>
      <c r="I165" s="859"/>
      <c r="J165" s="105">
        <v>1000</v>
      </c>
      <c r="K165" s="105"/>
      <c r="L165" s="105">
        <f>SUM(J165:K165)</f>
        <v>1000</v>
      </c>
      <c r="M165" s="105"/>
      <c r="N165" s="105"/>
      <c r="O165" s="105"/>
      <c r="P165" s="105"/>
      <c r="Q165" s="105"/>
      <c r="R165" s="105"/>
      <c r="S165" s="105">
        <f t="shared" ref="S165" si="167">SUM(M165:R165)</f>
        <v>0</v>
      </c>
      <c r="T165" s="105">
        <f t="shared" ref="T165" si="168">S165+L165</f>
        <v>1000</v>
      </c>
      <c r="U165" s="105"/>
      <c r="V165" s="105"/>
      <c r="W165" s="105"/>
      <c r="X165" s="105"/>
      <c r="Y165" s="105"/>
      <c r="Z165" s="105">
        <f>SUM(U165:Y165)</f>
        <v>0</v>
      </c>
      <c r="AA165" s="105">
        <f>Z165+T165</f>
        <v>1000</v>
      </c>
      <c r="AB165" s="105"/>
      <c r="AC165" s="105"/>
      <c r="AD165" s="105"/>
      <c r="AE165" s="105"/>
      <c r="AF165" s="105"/>
      <c r="AG165" s="105">
        <f>SUM(AB165:AF165)</f>
        <v>0</v>
      </c>
      <c r="AH165" s="105">
        <f>AG165+AA165</f>
        <v>1000</v>
      </c>
      <c r="AI165" s="105">
        <v>5600</v>
      </c>
      <c r="AJ165" s="732">
        <f>AI165/AH165*100</f>
        <v>560</v>
      </c>
    </row>
    <row r="166" spans="1:36" s="45" customFormat="1" ht="14">
      <c r="A166" s="103"/>
      <c r="B166" s="43"/>
      <c r="C166" s="104"/>
      <c r="D166" s="104"/>
      <c r="E166" s="22"/>
      <c r="F166" s="44"/>
      <c r="G166" s="44"/>
      <c r="H166" s="44"/>
      <c r="I166" s="44"/>
      <c r="J166" s="46"/>
      <c r="K166" s="46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732"/>
    </row>
    <row r="167" spans="1:36" s="45" customFormat="1" ht="14">
      <c r="A167" s="103"/>
      <c r="B167" s="43"/>
      <c r="C167" s="104"/>
      <c r="D167" s="104"/>
      <c r="E167" s="22"/>
      <c r="F167" s="902" t="s">
        <v>38</v>
      </c>
      <c r="G167" s="903"/>
      <c r="H167" s="903"/>
      <c r="I167" s="904"/>
      <c r="J167" s="296">
        <f>SUM(J165)</f>
        <v>1000</v>
      </c>
      <c r="K167" s="296"/>
      <c r="L167" s="296">
        <f>SUM(L165)</f>
        <v>1000</v>
      </c>
      <c r="M167" s="296">
        <f t="shared" ref="M167:T167" si="169">SUM(M165)</f>
        <v>0</v>
      </c>
      <c r="N167" s="296">
        <f t="shared" si="169"/>
        <v>0</v>
      </c>
      <c r="O167" s="296">
        <f t="shared" si="169"/>
        <v>0</v>
      </c>
      <c r="P167" s="296">
        <f t="shared" si="169"/>
        <v>0</v>
      </c>
      <c r="Q167" s="296">
        <f t="shared" si="169"/>
        <v>0</v>
      </c>
      <c r="R167" s="296">
        <f t="shared" si="169"/>
        <v>0</v>
      </c>
      <c r="S167" s="296">
        <f t="shared" si="169"/>
        <v>0</v>
      </c>
      <c r="T167" s="296">
        <f t="shared" si="169"/>
        <v>1000</v>
      </c>
      <c r="U167" s="296"/>
      <c r="V167" s="296"/>
      <c r="W167" s="296"/>
      <c r="X167" s="296"/>
      <c r="Y167" s="296"/>
      <c r="Z167" s="296">
        <f t="shared" ref="Z167:AA167" si="170">SUM(Z165)</f>
        <v>0</v>
      </c>
      <c r="AA167" s="296">
        <f t="shared" si="170"/>
        <v>1000</v>
      </c>
      <c r="AB167" s="296"/>
      <c r="AC167" s="296"/>
      <c r="AD167" s="296"/>
      <c r="AE167" s="296"/>
      <c r="AF167" s="296"/>
      <c r="AG167" s="296">
        <f t="shared" ref="AG167:AH167" si="171">SUM(AG165)</f>
        <v>0</v>
      </c>
      <c r="AH167" s="296">
        <f t="shared" si="171"/>
        <v>1000</v>
      </c>
      <c r="AI167" s="296">
        <f t="shared" ref="AI167" si="172">SUM(AI165)</f>
        <v>5600</v>
      </c>
      <c r="AJ167" s="740">
        <f>AI167/AH167*100</f>
        <v>560</v>
      </c>
    </row>
    <row r="168" spans="1:36" s="45" customFormat="1" ht="14">
      <c r="A168" s="103"/>
      <c r="B168" s="43"/>
      <c r="C168" s="104"/>
      <c r="D168" s="104"/>
      <c r="E168" s="22"/>
      <c r="F168" s="19"/>
      <c r="G168" s="29"/>
      <c r="H168" s="18"/>
      <c r="I168" s="106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742"/>
    </row>
    <row r="169" spans="1:36" s="45" customFormat="1" ht="14">
      <c r="A169" s="103"/>
      <c r="B169" s="43"/>
      <c r="C169" s="104"/>
      <c r="D169" s="104"/>
      <c r="E169" s="22"/>
      <c r="F169" s="20" t="s">
        <v>37</v>
      </c>
      <c r="G169" s="20"/>
      <c r="H169" s="4"/>
      <c r="I169" s="5"/>
      <c r="J169" s="101">
        <f>J146+J152+J157+J162+J167</f>
        <v>4594101000</v>
      </c>
      <c r="K169" s="101"/>
      <c r="L169" s="101">
        <f>L146+L152+L157+L162+L167</f>
        <v>4594101000</v>
      </c>
      <c r="M169" s="101">
        <f t="shared" ref="M169:T169" si="173">M146+M152+M157+M162+M167</f>
        <v>0</v>
      </c>
      <c r="N169" s="101">
        <f t="shared" si="173"/>
        <v>0</v>
      </c>
      <c r="O169" s="101">
        <f t="shared" si="173"/>
        <v>0</v>
      </c>
      <c r="P169" s="101">
        <f t="shared" si="173"/>
        <v>0</v>
      </c>
      <c r="Q169" s="101">
        <f t="shared" si="173"/>
        <v>0</v>
      </c>
      <c r="R169" s="101">
        <f t="shared" si="173"/>
        <v>0</v>
      </c>
      <c r="S169" s="101">
        <f t="shared" si="173"/>
        <v>0</v>
      </c>
      <c r="T169" s="101">
        <f t="shared" si="173"/>
        <v>4594101000</v>
      </c>
      <c r="U169" s="101"/>
      <c r="V169" s="101"/>
      <c r="W169" s="101"/>
      <c r="X169" s="101"/>
      <c r="Y169" s="101"/>
      <c r="Z169" s="101">
        <f t="shared" ref="Z169:AC169" si="174">Z146+Z152+Z157+Z162+Z167</f>
        <v>0</v>
      </c>
      <c r="AA169" s="101">
        <f t="shared" si="174"/>
        <v>4594101000</v>
      </c>
      <c r="AB169" s="101"/>
      <c r="AC169" s="101">
        <f t="shared" si="174"/>
        <v>31505394</v>
      </c>
      <c r="AD169" s="101"/>
      <c r="AE169" s="101"/>
      <c r="AF169" s="101"/>
      <c r="AG169" s="101">
        <f t="shared" ref="AG169:AH169" si="175">AG146+AG152+AG157+AG162+AG167</f>
        <v>31505394</v>
      </c>
      <c r="AH169" s="101">
        <f t="shared" si="175"/>
        <v>4625606394</v>
      </c>
      <c r="AI169" s="101">
        <f t="shared" ref="AI169" si="176">AI146+AI152+AI157+AI162+AI167</f>
        <v>4872436068</v>
      </c>
      <c r="AJ169" s="733">
        <f>AI169/AH169*100</f>
        <v>105.33615818069106</v>
      </c>
    </row>
    <row r="170" spans="1:36" s="45" customFormat="1" ht="17" customHeight="1">
      <c r="A170" s="103"/>
      <c r="B170" s="43"/>
      <c r="C170" s="104"/>
      <c r="D170" s="104"/>
      <c r="E170" s="22"/>
      <c r="F170" s="6"/>
      <c r="G170" s="6"/>
      <c r="H170" s="7"/>
      <c r="I170" s="8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734"/>
    </row>
    <row r="171" spans="1:36" s="45" customFormat="1" ht="17" customHeight="1">
      <c r="A171" s="103">
        <v>2</v>
      </c>
      <c r="B171" s="43"/>
      <c r="C171" s="104"/>
      <c r="D171" s="103">
        <v>3</v>
      </c>
      <c r="E171" s="22"/>
      <c r="F171" s="694" t="s">
        <v>284</v>
      </c>
      <c r="G171" s="690"/>
      <c r="H171" s="689"/>
      <c r="I171" s="684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734"/>
    </row>
    <row r="172" spans="1:36" s="45" customFormat="1" ht="17" customHeight="1">
      <c r="A172" s="103"/>
      <c r="B172" s="43">
        <v>1</v>
      </c>
      <c r="C172" s="104"/>
      <c r="D172" s="43"/>
      <c r="E172" s="22"/>
      <c r="F172" s="694"/>
      <c r="G172" s="690" t="s">
        <v>254</v>
      </c>
      <c r="H172" s="689"/>
      <c r="I172" s="684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734"/>
    </row>
    <row r="173" spans="1:36" s="45" customFormat="1" ht="17" customHeight="1">
      <c r="A173" s="103"/>
      <c r="B173" s="43"/>
      <c r="C173" s="104">
        <v>1</v>
      </c>
      <c r="D173" s="104"/>
      <c r="E173" s="22" t="s">
        <v>198</v>
      </c>
      <c r="F173" s="272"/>
      <c r="G173" s="690"/>
      <c r="H173" s="858" t="s">
        <v>215</v>
      </c>
      <c r="I173" s="859"/>
      <c r="J173" s="295">
        <v>100000</v>
      </c>
      <c r="K173" s="105"/>
      <c r="L173" s="105">
        <f>SUM(J173:K173)</f>
        <v>100000</v>
      </c>
      <c r="M173" s="105"/>
      <c r="N173" s="105"/>
      <c r="O173" s="105"/>
      <c r="P173" s="105"/>
      <c r="Q173" s="105"/>
      <c r="R173" s="105"/>
      <c r="S173" s="105">
        <f t="shared" ref="S173:S176" si="177">SUM(M173:R173)</f>
        <v>0</v>
      </c>
      <c r="T173" s="105">
        <f t="shared" ref="T173:T176" si="178">S173+L173</f>
        <v>100000</v>
      </c>
      <c r="U173" s="105"/>
      <c r="V173" s="105"/>
      <c r="W173" s="105"/>
      <c r="X173" s="105"/>
      <c r="Y173" s="105"/>
      <c r="Z173" s="105">
        <f>SUM(U173:Y173)</f>
        <v>0</v>
      </c>
      <c r="AA173" s="105">
        <f>Z173+T173</f>
        <v>100000</v>
      </c>
      <c r="AB173" s="105"/>
      <c r="AC173" s="105"/>
      <c r="AD173" s="105"/>
      <c r="AE173" s="105"/>
      <c r="AF173" s="105"/>
      <c r="AG173" s="105">
        <f>SUM(AB173:AF173)</f>
        <v>0</v>
      </c>
      <c r="AH173" s="105">
        <f t="shared" ref="AH173:AH176" si="179">AG173+AA173</f>
        <v>100000</v>
      </c>
      <c r="AI173" s="105"/>
      <c r="AJ173" s="732"/>
    </row>
    <row r="174" spans="1:36" s="45" customFormat="1" ht="17" customHeight="1">
      <c r="A174" s="103"/>
      <c r="B174" s="43"/>
      <c r="C174" s="104">
        <v>2</v>
      </c>
      <c r="D174" s="104"/>
      <c r="E174" s="22" t="s">
        <v>199</v>
      </c>
      <c r="F174" s="689"/>
      <c r="G174" s="690"/>
      <c r="H174" s="858" t="s">
        <v>85</v>
      </c>
      <c r="I174" s="859"/>
      <c r="J174" s="105">
        <v>50000</v>
      </c>
      <c r="K174" s="280"/>
      <c r="L174" s="105">
        <f>SUM(J174:K174)</f>
        <v>50000</v>
      </c>
      <c r="M174" s="105"/>
      <c r="N174" s="105"/>
      <c r="O174" s="105"/>
      <c r="P174" s="105"/>
      <c r="Q174" s="105"/>
      <c r="R174" s="105"/>
      <c r="S174" s="105">
        <f t="shared" si="177"/>
        <v>0</v>
      </c>
      <c r="T174" s="105">
        <f t="shared" si="178"/>
        <v>50000</v>
      </c>
      <c r="U174" s="105"/>
      <c r="V174" s="105"/>
      <c r="W174" s="105"/>
      <c r="X174" s="105"/>
      <c r="Y174" s="105"/>
      <c r="Z174" s="105">
        <f>SUM(U174:Y174)</f>
        <v>0</v>
      </c>
      <c r="AA174" s="105">
        <f>Z174+T174</f>
        <v>50000</v>
      </c>
      <c r="AB174" s="105"/>
      <c r="AC174" s="105"/>
      <c r="AD174" s="105"/>
      <c r="AE174" s="105"/>
      <c r="AF174" s="105"/>
      <c r="AG174" s="105">
        <f>SUM(AB174:AF174)</f>
        <v>0</v>
      </c>
      <c r="AH174" s="105">
        <f t="shared" si="179"/>
        <v>50000</v>
      </c>
      <c r="AI174" s="105">
        <v>11860</v>
      </c>
      <c r="AJ174" s="732">
        <f>AI174/AH174*100</f>
        <v>23.72</v>
      </c>
    </row>
    <row r="175" spans="1:36" s="45" customFormat="1" ht="17" customHeight="1">
      <c r="A175" s="103"/>
      <c r="B175" s="43"/>
      <c r="C175" s="104">
        <v>3</v>
      </c>
      <c r="D175" s="104"/>
      <c r="E175" s="22" t="s">
        <v>198</v>
      </c>
      <c r="F175" s="689"/>
      <c r="G175" s="690"/>
      <c r="H175" s="858" t="s">
        <v>255</v>
      </c>
      <c r="I175" s="859"/>
      <c r="J175" s="295">
        <v>2500000</v>
      </c>
      <c r="K175" s="295"/>
      <c r="L175" s="105">
        <f>SUM(J175:K175)</f>
        <v>2500000</v>
      </c>
      <c r="M175" s="105"/>
      <c r="N175" s="105"/>
      <c r="O175" s="105"/>
      <c r="P175" s="105"/>
      <c r="Q175" s="105"/>
      <c r="R175" s="105"/>
      <c r="S175" s="105">
        <f t="shared" si="177"/>
        <v>0</v>
      </c>
      <c r="T175" s="105">
        <f t="shared" si="178"/>
        <v>2500000</v>
      </c>
      <c r="U175" s="105"/>
      <c r="V175" s="105"/>
      <c r="W175" s="105"/>
      <c r="X175" s="105"/>
      <c r="Y175" s="105"/>
      <c r="Z175" s="105">
        <f>SUM(U175:Y175)</f>
        <v>0</v>
      </c>
      <c r="AA175" s="105">
        <f>Z175+T175</f>
        <v>2500000</v>
      </c>
      <c r="AB175" s="105"/>
      <c r="AC175" s="105"/>
      <c r="AD175" s="105"/>
      <c r="AE175" s="105"/>
      <c r="AF175" s="105"/>
      <c r="AG175" s="105">
        <f>SUM(AB175:AF175)</f>
        <v>0</v>
      </c>
      <c r="AH175" s="105">
        <f t="shared" si="179"/>
        <v>2500000</v>
      </c>
      <c r="AI175" s="105">
        <v>14659531</v>
      </c>
      <c r="AJ175" s="732">
        <f>AI175/AH175*100</f>
        <v>586.38123999999993</v>
      </c>
    </row>
    <row r="176" spans="1:36" s="45" customFormat="1" ht="30.5" customHeight="1">
      <c r="A176" s="103"/>
      <c r="B176" s="43"/>
      <c r="C176" s="104">
        <v>4</v>
      </c>
      <c r="D176" s="104"/>
      <c r="E176" s="297" t="s">
        <v>199</v>
      </c>
      <c r="F176" s="689"/>
      <c r="G176" s="690"/>
      <c r="H176" s="858" t="s">
        <v>485</v>
      </c>
      <c r="I176" s="859"/>
      <c r="J176" s="295">
        <v>2000000</v>
      </c>
      <c r="K176" s="295"/>
      <c r="L176" s="105">
        <f>SUM(J176:K176)</f>
        <v>2000000</v>
      </c>
      <c r="M176" s="105"/>
      <c r="N176" s="105"/>
      <c r="O176" s="105"/>
      <c r="P176" s="105"/>
      <c r="Q176" s="105"/>
      <c r="R176" s="105"/>
      <c r="S176" s="105">
        <f t="shared" si="177"/>
        <v>0</v>
      </c>
      <c r="T176" s="105">
        <f t="shared" si="178"/>
        <v>2000000</v>
      </c>
      <c r="U176" s="105"/>
      <c r="V176" s="105"/>
      <c r="W176" s="105"/>
      <c r="X176" s="105"/>
      <c r="Y176" s="105"/>
      <c r="Z176" s="105">
        <f>SUM(U176:Y176)</f>
        <v>0</v>
      </c>
      <c r="AA176" s="105">
        <f>Z176+T176</f>
        <v>2000000</v>
      </c>
      <c r="AB176" s="105"/>
      <c r="AC176" s="105"/>
      <c r="AD176" s="105"/>
      <c r="AE176" s="105"/>
      <c r="AF176" s="105"/>
      <c r="AG176" s="105">
        <f>SUM(AB176:AF176)</f>
        <v>0</v>
      </c>
      <c r="AH176" s="105">
        <f t="shared" si="179"/>
        <v>2000000</v>
      </c>
      <c r="AI176" s="105">
        <v>1482500</v>
      </c>
      <c r="AJ176" s="732">
        <f>AI176/AH176*100</f>
        <v>74.125</v>
      </c>
    </row>
    <row r="177" spans="1:36" s="45" customFormat="1" ht="30.5" customHeight="1">
      <c r="A177" s="273"/>
      <c r="B177" s="43"/>
      <c r="C177" s="298">
        <v>5</v>
      </c>
      <c r="D177" s="298"/>
      <c r="E177" s="297" t="s">
        <v>199</v>
      </c>
      <c r="F177" s="689"/>
      <c r="G177" s="690"/>
      <c r="H177" s="858" t="s">
        <v>618</v>
      </c>
      <c r="I177" s="859"/>
      <c r="J177" s="299"/>
      <c r="K177" s="299"/>
      <c r="L177" s="156"/>
      <c r="M177" s="156"/>
      <c r="N177" s="156"/>
      <c r="O177" s="156"/>
      <c r="P177" s="156"/>
      <c r="Q177" s="156"/>
      <c r="R177" s="156"/>
      <c r="S177" s="156"/>
      <c r="T177" s="156"/>
      <c r="U177" s="156"/>
      <c r="V177" s="156"/>
      <c r="W177" s="156"/>
      <c r="X177" s="156"/>
      <c r="Y177" s="156"/>
      <c r="Z177" s="156"/>
      <c r="AA177" s="156"/>
      <c r="AB177" s="156"/>
      <c r="AC177" s="156"/>
      <c r="AD177" s="156"/>
      <c r="AE177" s="156"/>
      <c r="AF177" s="156"/>
      <c r="AG177" s="105">
        <f t="shared" ref="AG177:AG178" si="180">SUM(AB177:AF177)</f>
        <v>0</v>
      </c>
      <c r="AH177" s="105">
        <f t="shared" ref="AH177:AH178" si="181">AG177+AA177</f>
        <v>0</v>
      </c>
      <c r="AI177" s="156">
        <v>5620</v>
      </c>
      <c r="AJ177" s="735"/>
    </row>
    <row r="178" spans="1:36" s="45" customFormat="1" ht="30.5" customHeight="1">
      <c r="A178" s="273"/>
      <c r="B178" s="43"/>
      <c r="C178" s="104">
        <v>6</v>
      </c>
      <c r="D178" s="298"/>
      <c r="E178" s="297" t="s">
        <v>199</v>
      </c>
      <c r="F178" s="689"/>
      <c r="G178" s="690"/>
      <c r="H178" s="858" t="s">
        <v>660</v>
      </c>
      <c r="I178" s="859"/>
      <c r="J178" s="299"/>
      <c r="K178" s="299"/>
      <c r="L178" s="156"/>
      <c r="M178" s="156"/>
      <c r="N178" s="156"/>
      <c r="O178" s="156"/>
      <c r="P178" s="156"/>
      <c r="Q178" s="156"/>
      <c r="R178" s="156"/>
      <c r="S178" s="156"/>
      <c r="T178" s="156"/>
      <c r="U178" s="156"/>
      <c r="V178" s="156"/>
      <c r="W178" s="156"/>
      <c r="X178" s="156"/>
      <c r="Y178" s="156"/>
      <c r="Z178" s="156"/>
      <c r="AA178" s="156"/>
      <c r="AB178" s="156"/>
      <c r="AC178" s="156"/>
      <c r="AD178" s="156"/>
      <c r="AE178" s="156"/>
      <c r="AF178" s="156"/>
      <c r="AG178" s="105">
        <f t="shared" si="180"/>
        <v>0</v>
      </c>
      <c r="AH178" s="105">
        <f t="shared" si="181"/>
        <v>0</v>
      </c>
      <c r="AI178" s="156">
        <v>23448</v>
      </c>
      <c r="AJ178" s="735"/>
    </row>
    <row r="179" spans="1:36" s="45" customFormat="1" ht="15" customHeight="1">
      <c r="A179" s="103"/>
      <c r="B179" s="43"/>
      <c r="C179" s="104"/>
      <c r="D179" s="104"/>
      <c r="E179" s="22"/>
      <c r="F179" s="689"/>
      <c r="G179" s="690"/>
      <c r="H179" s="689"/>
      <c r="I179" s="684"/>
      <c r="J179" s="295"/>
      <c r="K179" s="295"/>
      <c r="L179" s="295"/>
      <c r="M179" s="295"/>
      <c r="N179" s="295"/>
      <c r="O179" s="295"/>
      <c r="P179" s="295"/>
      <c r="Q179" s="295"/>
      <c r="R179" s="295"/>
      <c r="S179" s="295"/>
      <c r="T179" s="295"/>
      <c r="U179" s="295"/>
      <c r="V179" s="295"/>
      <c r="W179" s="295"/>
      <c r="X179" s="295"/>
      <c r="Y179" s="295"/>
      <c r="Z179" s="295"/>
      <c r="AA179" s="295"/>
      <c r="AB179" s="295"/>
      <c r="AC179" s="295"/>
      <c r="AD179" s="295"/>
      <c r="AE179" s="295"/>
      <c r="AF179" s="295"/>
      <c r="AG179" s="295"/>
      <c r="AH179" s="295"/>
      <c r="AI179" s="295"/>
      <c r="AJ179" s="739"/>
    </row>
    <row r="180" spans="1:36" s="45" customFormat="1" ht="15" customHeight="1">
      <c r="A180" s="103"/>
      <c r="B180" s="43"/>
      <c r="C180" s="104"/>
      <c r="D180" s="104"/>
      <c r="E180" s="22"/>
      <c r="F180" s="107"/>
      <c r="G180" s="30"/>
      <c r="H180" s="108"/>
      <c r="I180" s="109" t="s">
        <v>283</v>
      </c>
      <c r="J180" s="49">
        <f>SUM(J173:J176)</f>
        <v>4650000</v>
      </c>
      <c r="K180" s="49"/>
      <c r="L180" s="49">
        <f>SUM(L173:L176)</f>
        <v>4650000</v>
      </c>
      <c r="M180" s="49">
        <f t="shared" ref="M180:T180" si="182">SUM(M173:M176)</f>
        <v>0</v>
      </c>
      <c r="N180" s="49">
        <f t="shared" si="182"/>
        <v>0</v>
      </c>
      <c r="O180" s="49">
        <f t="shared" si="182"/>
        <v>0</v>
      </c>
      <c r="P180" s="49">
        <f t="shared" si="182"/>
        <v>0</v>
      </c>
      <c r="Q180" s="49">
        <f t="shared" si="182"/>
        <v>0</v>
      </c>
      <c r="R180" s="49">
        <f t="shared" si="182"/>
        <v>0</v>
      </c>
      <c r="S180" s="49">
        <f t="shared" si="182"/>
        <v>0</v>
      </c>
      <c r="T180" s="49">
        <f t="shared" si="182"/>
        <v>4650000</v>
      </c>
      <c r="U180" s="49"/>
      <c r="V180" s="49"/>
      <c r="W180" s="49"/>
      <c r="X180" s="49"/>
      <c r="Y180" s="49"/>
      <c r="Z180" s="49">
        <f t="shared" ref="Z180:AA180" si="183">SUM(Z173:Z176)</f>
        <v>0</v>
      </c>
      <c r="AA180" s="49">
        <f t="shared" si="183"/>
        <v>4650000</v>
      </c>
      <c r="AB180" s="49"/>
      <c r="AC180" s="49"/>
      <c r="AD180" s="49"/>
      <c r="AE180" s="49"/>
      <c r="AF180" s="49"/>
      <c r="AG180" s="49">
        <f t="shared" ref="AG180" si="184">SUM(AG173:AG176)</f>
        <v>0</v>
      </c>
      <c r="AH180" s="49">
        <f>SUM(AH173:AH178)</f>
        <v>4650000</v>
      </c>
      <c r="AI180" s="49">
        <f>SUM(AI173:AI178)</f>
        <v>16182959</v>
      </c>
      <c r="AJ180" s="740">
        <f>AI180/AH180*100</f>
        <v>348.02062365591399</v>
      </c>
    </row>
    <row r="181" spans="1:36" s="45" customFormat="1" ht="15" customHeight="1">
      <c r="A181" s="103"/>
      <c r="B181" s="43"/>
      <c r="C181" s="104"/>
      <c r="D181" s="300"/>
      <c r="E181" s="22"/>
      <c r="F181" s="110"/>
      <c r="G181" s="28"/>
      <c r="H181" s="7"/>
      <c r="I181" s="68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741"/>
    </row>
    <row r="182" spans="1:36" s="45" customFormat="1" ht="14">
      <c r="A182" s="103"/>
      <c r="B182" s="43">
        <v>2</v>
      </c>
      <c r="C182" s="104"/>
      <c r="D182" s="43"/>
      <c r="E182" s="22"/>
      <c r="F182" s="694"/>
      <c r="G182" s="690" t="s">
        <v>284</v>
      </c>
      <c r="H182" s="689"/>
      <c r="I182" s="684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734"/>
    </row>
    <row r="183" spans="1:36" s="45" customFormat="1" ht="15" customHeight="1">
      <c r="A183" s="103"/>
      <c r="B183" s="43"/>
      <c r="C183" s="104">
        <v>1</v>
      </c>
      <c r="D183" s="104"/>
      <c r="E183" s="22" t="s">
        <v>199</v>
      </c>
      <c r="F183" s="272"/>
      <c r="G183" s="690"/>
      <c r="H183" s="858" t="s">
        <v>486</v>
      </c>
      <c r="I183" s="859"/>
      <c r="J183" s="295">
        <v>30510000</v>
      </c>
      <c r="K183" s="105"/>
      <c r="L183" s="105">
        <f>SUM(J183:K183)</f>
        <v>30510000</v>
      </c>
      <c r="M183" s="105"/>
      <c r="N183" s="105"/>
      <c r="O183" s="105"/>
      <c r="P183" s="105"/>
      <c r="Q183" s="105"/>
      <c r="R183" s="105"/>
      <c r="S183" s="105">
        <f t="shared" ref="S183:S184" si="185">SUM(M183:R183)</f>
        <v>0</v>
      </c>
      <c r="T183" s="105">
        <f t="shared" ref="T183:T184" si="186">S183+L183</f>
        <v>30510000</v>
      </c>
      <c r="U183" s="105"/>
      <c r="V183" s="105"/>
      <c r="W183" s="105"/>
      <c r="X183" s="105"/>
      <c r="Y183" s="105"/>
      <c r="Z183" s="105">
        <f>SUM(U183:Y183)</f>
        <v>0</v>
      </c>
      <c r="AA183" s="105">
        <f>Z183+T183</f>
        <v>30510000</v>
      </c>
      <c r="AB183" s="105"/>
      <c r="AC183" s="105">
        <v>1178817</v>
      </c>
      <c r="AD183" s="105"/>
      <c r="AE183" s="105"/>
      <c r="AF183" s="105"/>
      <c r="AG183" s="105">
        <f>SUM(AB183:AF183)</f>
        <v>1178817</v>
      </c>
      <c r="AH183" s="105">
        <f t="shared" ref="AH183:AH184" si="187">AG183+AA183</f>
        <v>31688817</v>
      </c>
      <c r="AI183" s="105">
        <v>36033753</v>
      </c>
      <c r="AJ183" s="732">
        <f>AI183/AH183*100</f>
        <v>113.71125971663758</v>
      </c>
    </row>
    <row r="184" spans="1:36" s="45" customFormat="1" ht="23" customHeight="1">
      <c r="A184" s="273"/>
      <c r="B184" s="43"/>
      <c r="C184" s="298">
        <v>2</v>
      </c>
      <c r="D184" s="298"/>
      <c r="E184" s="155" t="s">
        <v>199</v>
      </c>
      <c r="F184" s="689"/>
      <c r="G184" s="690"/>
      <c r="H184" s="858" t="s">
        <v>487</v>
      </c>
      <c r="I184" s="859"/>
      <c r="J184" s="299">
        <v>50000</v>
      </c>
      <c r="K184" s="156"/>
      <c r="L184" s="105">
        <f>SUM(J184:K184)</f>
        <v>50000</v>
      </c>
      <c r="M184" s="105"/>
      <c r="N184" s="105"/>
      <c r="O184" s="105"/>
      <c r="P184" s="105"/>
      <c r="Q184" s="105"/>
      <c r="R184" s="105"/>
      <c r="S184" s="105">
        <f t="shared" si="185"/>
        <v>0</v>
      </c>
      <c r="T184" s="105">
        <f t="shared" si="186"/>
        <v>50000</v>
      </c>
      <c r="U184" s="105"/>
      <c r="V184" s="105"/>
      <c r="W184" s="105"/>
      <c r="X184" s="105"/>
      <c r="Y184" s="105"/>
      <c r="Z184" s="105">
        <f>SUM(U184:Y184)</f>
        <v>0</v>
      </c>
      <c r="AA184" s="105">
        <f>Z184+T184</f>
        <v>50000</v>
      </c>
      <c r="AB184" s="105"/>
      <c r="AC184" s="105"/>
      <c r="AD184" s="105"/>
      <c r="AE184" s="105"/>
      <c r="AF184" s="105"/>
      <c r="AG184" s="105">
        <f>SUM(AB184:AF184)</f>
        <v>0</v>
      </c>
      <c r="AH184" s="105">
        <f t="shared" si="187"/>
        <v>50000</v>
      </c>
      <c r="AI184" s="105">
        <v>438540</v>
      </c>
      <c r="AJ184" s="732">
        <f>AI184/AH184*100</f>
        <v>877.07999999999993</v>
      </c>
    </row>
    <row r="185" spans="1:36" s="45" customFormat="1" ht="23" customHeight="1">
      <c r="A185" s="273"/>
      <c r="B185" s="724"/>
      <c r="C185" s="298">
        <v>3</v>
      </c>
      <c r="D185" s="298"/>
      <c r="E185" s="155" t="s">
        <v>199</v>
      </c>
      <c r="F185" s="713"/>
      <c r="G185" s="714"/>
      <c r="H185" s="858" t="s">
        <v>689</v>
      </c>
      <c r="I185" s="859"/>
      <c r="J185" s="299"/>
      <c r="K185" s="156"/>
      <c r="L185" s="156"/>
      <c r="M185" s="156"/>
      <c r="N185" s="156"/>
      <c r="O185" s="156"/>
      <c r="P185" s="156"/>
      <c r="Q185" s="156"/>
      <c r="R185" s="156"/>
      <c r="S185" s="156"/>
      <c r="T185" s="156"/>
      <c r="U185" s="156"/>
      <c r="V185" s="156"/>
      <c r="W185" s="156"/>
      <c r="X185" s="156"/>
      <c r="Y185" s="156"/>
      <c r="Z185" s="156"/>
      <c r="AA185" s="156"/>
      <c r="AB185" s="156"/>
      <c r="AC185" s="156"/>
      <c r="AD185" s="156"/>
      <c r="AE185" s="156"/>
      <c r="AF185" s="156"/>
      <c r="AG185" s="105">
        <f>SUM(AB185:AF185)</f>
        <v>0</v>
      </c>
      <c r="AH185" s="105">
        <f t="shared" ref="AH185" si="188">AG185+AA185</f>
        <v>0</v>
      </c>
      <c r="AI185" s="156">
        <v>1800</v>
      </c>
      <c r="AJ185" s="735"/>
    </row>
    <row r="186" spans="1:36" s="45" customFormat="1" ht="15" customHeight="1">
      <c r="A186" s="103"/>
      <c r="B186" s="43"/>
      <c r="C186" s="104"/>
      <c r="D186" s="104"/>
      <c r="E186" s="22"/>
      <c r="F186" s="689"/>
      <c r="G186" s="690"/>
      <c r="H186" s="689"/>
      <c r="I186" s="684"/>
      <c r="J186" s="295"/>
      <c r="K186" s="295"/>
      <c r="L186" s="295"/>
      <c r="M186" s="295"/>
      <c r="N186" s="295"/>
      <c r="O186" s="295"/>
      <c r="P186" s="295"/>
      <c r="Q186" s="295"/>
      <c r="R186" s="295"/>
      <c r="S186" s="295"/>
      <c r="T186" s="295"/>
      <c r="U186" s="295"/>
      <c r="V186" s="295"/>
      <c r="W186" s="295"/>
      <c r="X186" s="295"/>
      <c r="Y186" s="295"/>
      <c r="Z186" s="295"/>
      <c r="AA186" s="295"/>
      <c r="AB186" s="295"/>
      <c r="AC186" s="295"/>
      <c r="AD186" s="295"/>
      <c r="AE186" s="295"/>
      <c r="AF186" s="295"/>
      <c r="AG186" s="295"/>
      <c r="AH186" s="295"/>
      <c r="AI186" s="295"/>
      <c r="AJ186" s="739"/>
    </row>
    <row r="187" spans="1:36" s="45" customFormat="1" ht="15" customHeight="1">
      <c r="A187" s="103"/>
      <c r="B187" s="43"/>
      <c r="C187" s="104"/>
      <c r="D187" s="104"/>
      <c r="E187" s="22"/>
      <c r="F187" s="107"/>
      <c r="G187" s="30"/>
      <c r="H187" s="108"/>
      <c r="I187" s="109" t="s">
        <v>283</v>
      </c>
      <c r="J187" s="49">
        <f>SUM(J183:J186)</f>
        <v>30560000</v>
      </c>
      <c r="K187" s="49"/>
      <c r="L187" s="49">
        <f t="shared" ref="L187" si="189">SUM(L183:L186)</f>
        <v>30560000</v>
      </c>
      <c r="M187" s="49">
        <f t="shared" ref="M187:T187" si="190">SUM(M183:M186)</f>
        <v>0</v>
      </c>
      <c r="N187" s="49">
        <f t="shared" si="190"/>
        <v>0</v>
      </c>
      <c r="O187" s="49">
        <f t="shared" si="190"/>
        <v>0</v>
      </c>
      <c r="P187" s="49">
        <f t="shared" si="190"/>
        <v>0</v>
      </c>
      <c r="Q187" s="49">
        <f t="shared" si="190"/>
        <v>0</v>
      </c>
      <c r="R187" s="49">
        <f t="shared" si="190"/>
        <v>0</v>
      </c>
      <c r="S187" s="49">
        <f t="shared" si="190"/>
        <v>0</v>
      </c>
      <c r="T187" s="49">
        <f t="shared" si="190"/>
        <v>30560000</v>
      </c>
      <c r="U187" s="49"/>
      <c r="V187" s="49"/>
      <c r="W187" s="49"/>
      <c r="X187" s="49"/>
      <c r="Y187" s="49"/>
      <c r="Z187" s="49">
        <f t="shared" ref="Z187:AA187" si="191">SUM(Z183:Z186)</f>
        <v>0</v>
      </c>
      <c r="AA187" s="49">
        <f t="shared" si="191"/>
        <v>30560000</v>
      </c>
      <c r="AB187" s="49">
        <f t="shared" ref="AB187:AC187" si="192">SUM(AB183:AB186)</f>
        <v>0</v>
      </c>
      <c r="AC187" s="49">
        <f t="shared" si="192"/>
        <v>1178817</v>
      </c>
      <c r="AD187" s="49"/>
      <c r="AE187" s="49"/>
      <c r="AF187" s="49"/>
      <c r="AG187" s="49">
        <f t="shared" ref="AG187:AH187" si="193">SUM(AG183:AG186)</f>
        <v>1178817</v>
      </c>
      <c r="AH187" s="49">
        <f t="shared" si="193"/>
        <v>31738817</v>
      </c>
      <c r="AI187" s="49">
        <f t="shared" ref="AI187" si="194">SUM(AI183:AI186)</f>
        <v>36474093</v>
      </c>
      <c r="AJ187" s="740">
        <f>AI187/AH187*100</f>
        <v>114.91951007499743</v>
      </c>
    </row>
    <row r="188" spans="1:36" s="45" customFormat="1" ht="15" customHeight="1">
      <c r="A188" s="103"/>
      <c r="B188" s="43"/>
      <c r="C188" s="104"/>
      <c r="D188" s="104"/>
      <c r="E188" s="22"/>
      <c r="F188" s="19"/>
      <c r="G188" s="29"/>
      <c r="H188" s="18"/>
      <c r="I188" s="106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742"/>
    </row>
    <row r="189" spans="1:36" s="45" customFormat="1" ht="15" customHeight="1">
      <c r="A189" s="103"/>
      <c r="B189" s="43"/>
      <c r="C189" s="104"/>
      <c r="D189" s="104"/>
      <c r="E189" s="22"/>
      <c r="F189" s="20" t="s">
        <v>37</v>
      </c>
      <c r="G189" s="20"/>
      <c r="H189" s="4"/>
      <c r="I189" s="5"/>
      <c r="J189" s="101">
        <f>SUM(J171:J187)/2</f>
        <v>35210000</v>
      </c>
      <c r="K189" s="101"/>
      <c r="L189" s="101">
        <f>SUM(L171:L187)/2</f>
        <v>35210000</v>
      </c>
      <c r="M189" s="101">
        <f t="shared" ref="M189:T189" si="195">SUM(M171:M187)/2</f>
        <v>0</v>
      </c>
      <c r="N189" s="101">
        <f t="shared" si="195"/>
        <v>0</v>
      </c>
      <c r="O189" s="101">
        <f t="shared" si="195"/>
        <v>0</v>
      </c>
      <c r="P189" s="101">
        <f t="shared" si="195"/>
        <v>0</v>
      </c>
      <c r="Q189" s="101">
        <f t="shared" si="195"/>
        <v>0</v>
      </c>
      <c r="R189" s="101">
        <f t="shared" si="195"/>
        <v>0</v>
      </c>
      <c r="S189" s="101">
        <f t="shared" si="195"/>
        <v>0</v>
      </c>
      <c r="T189" s="101">
        <f t="shared" si="195"/>
        <v>35210000</v>
      </c>
      <c r="U189" s="101"/>
      <c r="V189" s="101"/>
      <c r="W189" s="101"/>
      <c r="X189" s="101"/>
      <c r="Y189" s="101"/>
      <c r="Z189" s="101">
        <f t="shared" ref="Z189:AA189" si="196">SUM(Z171:Z187)/2</f>
        <v>0</v>
      </c>
      <c r="AA189" s="101">
        <f t="shared" si="196"/>
        <v>35210000</v>
      </c>
      <c r="AB189" s="101">
        <f t="shared" ref="AB189:AC189" si="197">SUM(AB171:AB187)/2</f>
        <v>0</v>
      </c>
      <c r="AC189" s="101">
        <f t="shared" si="197"/>
        <v>1178817</v>
      </c>
      <c r="AD189" s="101"/>
      <c r="AE189" s="101"/>
      <c r="AF189" s="101"/>
      <c r="AG189" s="101">
        <f t="shared" ref="AG189:AH189" si="198">SUM(AG171:AG187)/2</f>
        <v>1178817</v>
      </c>
      <c r="AH189" s="101">
        <f t="shared" si="198"/>
        <v>36388817</v>
      </c>
      <c r="AI189" s="101">
        <f t="shared" ref="AI189" si="199">SUM(AI171:AI187)/2</f>
        <v>52657052</v>
      </c>
      <c r="AJ189" s="733">
        <f>AI189/AH189*100</f>
        <v>144.70668832130485</v>
      </c>
    </row>
    <row r="190" spans="1:36" s="45" customFormat="1" ht="6.5" customHeight="1">
      <c r="A190" s="103"/>
      <c r="B190" s="43"/>
      <c r="C190" s="104"/>
      <c r="D190" s="104"/>
      <c r="E190" s="22"/>
      <c r="F190" s="6"/>
      <c r="G190" s="6"/>
      <c r="H190" s="7"/>
      <c r="I190" s="687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734"/>
    </row>
    <row r="191" spans="1:36" s="45" customFormat="1" ht="14">
      <c r="A191" s="695"/>
      <c r="B191" s="696"/>
      <c r="C191" s="301"/>
      <c r="D191" s="301"/>
      <c r="E191" s="111"/>
      <c r="F191" s="922" t="s">
        <v>304</v>
      </c>
      <c r="G191" s="877"/>
      <c r="H191" s="877"/>
      <c r="I191" s="878"/>
      <c r="J191" s="51">
        <f>J169+J189</f>
        <v>4629311000</v>
      </c>
      <c r="K191" s="51"/>
      <c r="L191" s="51">
        <f>L169+L189</f>
        <v>4629311000</v>
      </c>
      <c r="M191" s="51">
        <f t="shared" ref="M191:T191" si="200">M169+M189</f>
        <v>0</v>
      </c>
      <c r="N191" s="51">
        <f t="shared" si="200"/>
        <v>0</v>
      </c>
      <c r="O191" s="51">
        <f t="shared" si="200"/>
        <v>0</v>
      </c>
      <c r="P191" s="51">
        <f t="shared" si="200"/>
        <v>0</v>
      </c>
      <c r="Q191" s="51">
        <f t="shared" si="200"/>
        <v>0</v>
      </c>
      <c r="R191" s="51">
        <f t="shared" si="200"/>
        <v>0</v>
      </c>
      <c r="S191" s="51">
        <f t="shared" si="200"/>
        <v>0</v>
      </c>
      <c r="T191" s="51">
        <f t="shared" si="200"/>
        <v>4629311000</v>
      </c>
      <c r="U191" s="51"/>
      <c r="V191" s="51"/>
      <c r="W191" s="51"/>
      <c r="X191" s="51"/>
      <c r="Y191" s="51"/>
      <c r="Z191" s="51">
        <f t="shared" ref="Z191:AA191" si="201">Z169+Z189</f>
        <v>0</v>
      </c>
      <c r="AA191" s="51">
        <f t="shared" si="201"/>
        <v>4629311000</v>
      </c>
      <c r="AB191" s="51">
        <f t="shared" ref="AB191:AC191" si="202">AB169+AB189</f>
        <v>0</v>
      </c>
      <c r="AC191" s="51">
        <f t="shared" si="202"/>
        <v>32684211</v>
      </c>
      <c r="AD191" s="51"/>
      <c r="AE191" s="51"/>
      <c r="AF191" s="51"/>
      <c r="AG191" s="51">
        <f t="shared" ref="AG191:AH191" si="203">AG169+AG189</f>
        <v>32684211</v>
      </c>
      <c r="AH191" s="51">
        <f t="shared" si="203"/>
        <v>4661995211</v>
      </c>
      <c r="AI191" s="51">
        <f t="shared" ref="AI191" si="204">AI169+AI189</f>
        <v>4925093120</v>
      </c>
      <c r="AJ191" s="737">
        <f>AI191/AH191*100</f>
        <v>105.6434615887039</v>
      </c>
    </row>
    <row r="192" spans="1:36" s="45" customFormat="1" ht="14">
      <c r="A192" s="103"/>
      <c r="B192" s="43"/>
      <c r="C192" s="104"/>
      <c r="D192" s="104"/>
      <c r="E192" s="22"/>
      <c r="F192" s="6"/>
      <c r="G192" s="6"/>
      <c r="H192" s="7"/>
      <c r="I192" s="687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734"/>
    </row>
    <row r="193" spans="1:36" s="45" customFormat="1" ht="14">
      <c r="A193" s="103">
        <v>3</v>
      </c>
      <c r="B193" s="43"/>
      <c r="C193" s="104"/>
      <c r="D193" s="103">
        <v>4</v>
      </c>
      <c r="E193" s="22"/>
      <c r="F193" s="908" t="s">
        <v>285</v>
      </c>
      <c r="G193" s="909"/>
      <c r="H193" s="909"/>
      <c r="I193" s="910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734"/>
    </row>
    <row r="194" spans="1:36" s="45" customFormat="1" ht="15.75" customHeight="1">
      <c r="A194" s="103"/>
      <c r="B194" s="43">
        <v>1</v>
      </c>
      <c r="C194" s="104"/>
      <c r="D194" s="103"/>
      <c r="E194" s="22"/>
      <c r="G194" s="690" t="s">
        <v>286</v>
      </c>
      <c r="H194" s="684"/>
      <c r="I194" s="687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734"/>
    </row>
    <row r="195" spans="1:36" s="45" customFormat="1" ht="15.75" customHeight="1">
      <c r="A195" s="103"/>
      <c r="B195" s="43"/>
      <c r="C195" s="104">
        <v>1</v>
      </c>
      <c r="D195" s="103"/>
      <c r="E195" s="22" t="s">
        <v>198</v>
      </c>
      <c r="F195" s="690"/>
      <c r="G195" s="6"/>
      <c r="H195" s="858" t="s">
        <v>287</v>
      </c>
      <c r="I195" s="859"/>
      <c r="J195" s="295">
        <v>100000</v>
      </c>
      <c r="K195" s="46"/>
      <c r="L195" s="105">
        <f>SUM(J195:K195)</f>
        <v>100000</v>
      </c>
      <c r="M195" s="105"/>
      <c r="N195" s="105"/>
      <c r="O195" s="105"/>
      <c r="P195" s="105"/>
      <c r="Q195" s="105"/>
      <c r="R195" s="105"/>
      <c r="S195" s="105">
        <f t="shared" ref="S195" si="205">SUM(M195:R195)</f>
        <v>0</v>
      </c>
      <c r="T195" s="105">
        <f t="shared" ref="T195" si="206">S195+L195</f>
        <v>100000</v>
      </c>
      <c r="U195" s="105"/>
      <c r="V195" s="105"/>
      <c r="W195" s="105"/>
      <c r="X195" s="105"/>
      <c r="Y195" s="105"/>
      <c r="Z195" s="105">
        <f>SUM(U195:Y195)</f>
        <v>0</v>
      </c>
      <c r="AA195" s="105">
        <f>Z195+T195</f>
        <v>100000</v>
      </c>
      <c r="AB195" s="105"/>
      <c r="AC195" s="105"/>
      <c r="AD195" s="105"/>
      <c r="AE195" s="105"/>
      <c r="AF195" s="105"/>
      <c r="AG195" s="105">
        <f>SUM(AB195:AF195)</f>
        <v>0</v>
      </c>
      <c r="AH195" s="105">
        <f t="shared" ref="AH195" si="207">AG195+AA195</f>
        <v>100000</v>
      </c>
      <c r="AI195" s="105">
        <v>42858</v>
      </c>
      <c r="AJ195" s="732">
        <f>AI195/AH195*100</f>
        <v>42.858000000000004</v>
      </c>
    </row>
    <row r="196" spans="1:36" s="45" customFormat="1" ht="15.75" customHeight="1">
      <c r="A196" s="273"/>
      <c r="B196" s="43"/>
      <c r="C196" s="298">
        <v>2</v>
      </c>
      <c r="D196" s="273"/>
      <c r="E196" s="155" t="s">
        <v>198</v>
      </c>
      <c r="F196" s="690"/>
      <c r="G196" s="6"/>
      <c r="H196" s="858" t="s">
        <v>619</v>
      </c>
      <c r="I196" s="859"/>
      <c r="J196" s="299"/>
      <c r="K196" s="157"/>
      <c r="L196" s="156"/>
      <c r="M196" s="156"/>
      <c r="N196" s="156"/>
      <c r="O196" s="156"/>
      <c r="P196" s="156"/>
      <c r="Q196" s="156"/>
      <c r="R196" s="156"/>
      <c r="S196" s="156"/>
      <c r="T196" s="156"/>
      <c r="U196" s="156"/>
      <c r="V196" s="156"/>
      <c r="W196" s="156"/>
      <c r="X196" s="156"/>
      <c r="Y196" s="156"/>
      <c r="Z196" s="156"/>
      <c r="AA196" s="156"/>
      <c r="AB196" s="156"/>
      <c r="AC196" s="156"/>
      <c r="AD196" s="156"/>
      <c r="AE196" s="156"/>
      <c r="AF196" s="156"/>
      <c r="AG196" s="156"/>
      <c r="AH196" s="156"/>
      <c r="AI196" s="156">
        <v>95374</v>
      </c>
      <c r="AJ196" s="735"/>
    </row>
    <row r="197" spans="1:36" s="45" customFormat="1" ht="15.75" customHeight="1">
      <c r="A197" s="103"/>
      <c r="B197" s="43"/>
      <c r="C197" s="104"/>
      <c r="D197" s="103"/>
      <c r="E197" s="22"/>
      <c r="F197" s="690"/>
      <c r="G197" s="6"/>
      <c r="H197" s="7"/>
      <c r="I197" s="112"/>
      <c r="J197" s="105"/>
      <c r="K197" s="46"/>
      <c r="L197" s="105"/>
      <c r="M197" s="105"/>
      <c r="N197" s="105"/>
      <c r="O197" s="105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732"/>
    </row>
    <row r="198" spans="1:36" s="45" customFormat="1" ht="15.75" customHeight="1">
      <c r="A198" s="103"/>
      <c r="B198" s="43"/>
      <c r="C198" s="104"/>
      <c r="D198" s="103"/>
      <c r="E198" s="22"/>
      <c r="F198" s="107"/>
      <c r="G198" s="30"/>
      <c r="H198" s="108"/>
      <c r="I198" s="109" t="s">
        <v>283</v>
      </c>
      <c r="J198" s="49">
        <f>SUM(J192:J195)</f>
        <v>100000</v>
      </c>
      <c r="K198" s="49"/>
      <c r="L198" s="49">
        <f>SUM(L192:L195)</f>
        <v>100000</v>
      </c>
      <c r="M198" s="49">
        <f t="shared" ref="M198:T198" si="208">SUM(M192:M195)</f>
        <v>0</v>
      </c>
      <c r="N198" s="49">
        <f t="shared" si="208"/>
        <v>0</v>
      </c>
      <c r="O198" s="49">
        <f t="shared" si="208"/>
        <v>0</v>
      </c>
      <c r="P198" s="49">
        <f t="shared" si="208"/>
        <v>0</v>
      </c>
      <c r="Q198" s="49">
        <f t="shared" si="208"/>
        <v>0</v>
      </c>
      <c r="R198" s="49">
        <f t="shared" si="208"/>
        <v>0</v>
      </c>
      <c r="S198" s="49">
        <f t="shared" si="208"/>
        <v>0</v>
      </c>
      <c r="T198" s="49">
        <f t="shared" si="208"/>
        <v>100000</v>
      </c>
      <c r="U198" s="49"/>
      <c r="V198" s="49"/>
      <c r="W198" s="49"/>
      <c r="X198" s="49"/>
      <c r="Y198" s="49"/>
      <c r="Z198" s="49">
        <f t="shared" ref="Z198:AA198" si="209">SUM(Z192:Z195)</f>
        <v>0</v>
      </c>
      <c r="AA198" s="49">
        <f t="shared" si="209"/>
        <v>100000</v>
      </c>
      <c r="AB198" s="49"/>
      <c r="AC198" s="49"/>
      <c r="AD198" s="49"/>
      <c r="AE198" s="49"/>
      <c r="AF198" s="49"/>
      <c r="AG198" s="49">
        <f t="shared" ref="AG198:AH198" si="210">SUM(AG192:AG195)</f>
        <v>0</v>
      </c>
      <c r="AH198" s="49">
        <f t="shared" si="210"/>
        <v>100000</v>
      </c>
      <c r="AI198" s="49">
        <f>SUM(AI195:AI196)</f>
        <v>138232</v>
      </c>
      <c r="AJ198" s="740">
        <f>AI198/AH198*100</f>
        <v>138.232</v>
      </c>
    </row>
    <row r="199" spans="1:36" s="45" customFormat="1" ht="15.75" customHeight="1">
      <c r="A199" s="103"/>
      <c r="B199" s="43"/>
      <c r="C199" s="104"/>
      <c r="D199" s="103"/>
      <c r="E199" s="22"/>
      <c r="F199" s="8"/>
      <c r="G199" s="28"/>
      <c r="H199" s="7"/>
      <c r="I199" s="68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741"/>
    </row>
    <row r="200" spans="1:36" s="45" customFormat="1" ht="15.75" customHeight="1">
      <c r="A200" s="103"/>
      <c r="B200" s="43">
        <v>2</v>
      </c>
      <c r="C200" s="104"/>
      <c r="D200" s="103"/>
      <c r="E200" s="22"/>
      <c r="G200" s="690" t="s">
        <v>288</v>
      </c>
      <c r="H200" s="684"/>
      <c r="I200" s="687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734"/>
    </row>
    <row r="201" spans="1:36" s="45" customFormat="1" ht="15.75" customHeight="1">
      <c r="A201" s="103"/>
      <c r="B201" s="43"/>
      <c r="C201" s="104">
        <v>1</v>
      </c>
      <c r="D201" s="103"/>
      <c r="E201" s="22" t="s">
        <v>199</v>
      </c>
      <c r="F201" s="272"/>
      <c r="G201" s="690"/>
      <c r="H201" s="858" t="s">
        <v>128</v>
      </c>
      <c r="I201" s="859"/>
      <c r="J201" s="105">
        <v>41833000</v>
      </c>
      <c r="K201" s="105"/>
      <c r="L201" s="105">
        <f>SUM(J201:K201)</f>
        <v>41833000</v>
      </c>
      <c r="M201" s="105"/>
      <c r="N201" s="105"/>
      <c r="O201" s="105"/>
      <c r="P201" s="105"/>
      <c r="Q201" s="105"/>
      <c r="R201" s="105"/>
      <c r="S201" s="105">
        <f t="shared" ref="S201:S204" si="211">SUM(M201:R201)</f>
        <v>0</v>
      </c>
      <c r="T201" s="105">
        <f t="shared" ref="T201:T204" si="212">S201+L201</f>
        <v>41833000</v>
      </c>
      <c r="U201" s="105"/>
      <c r="V201" s="105"/>
      <c r="W201" s="105"/>
      <c r="X201" s="105"/>
      <c r="Y201" s="105"/>
      <c r="Z201" s="105">
        <f>SUM(U201:Y201)</f>
        <v>0</v>
      </c>
      <c r="AA201" s="105">
        <f>Z201+T201</f>
        <v>41833000</v>
      </c>
      <c r="AB201" s="105"/>
      <c r="AC201" s="105"/>
      <c r="AD201" s="105"/>
      <c r="AE201" s="105"/>
      <c r="AF201" s="105"/>
      <c r="AG201" s="105">
        <f>SUM(AB201:AF201)</f>
        <v>0</v>
      </c>
      <c r="AH201" s="105">
        <f t="shared" ref="AH201:AH204" si="213">AG201+AA201</f>
        <v>41833000</v>
      </c>
      <c r="AI201" s="105">
        <v>40707863</v>
      </c>
      <c r="AJ201" s="732">
        <f>AI201/AH201*100</f>
        <v>97.310408051060165</v>
      </c>
    </row>
    <row r="202" spans="1:36" s="45" customFormat="1" ht="15.75" customHeight="1">
      <c r="A202" s="103"/>
      <c r="B202" s="43"/>
      <c r="C202" s="104">
        <v>2</v>
      </c>
      <c r="D202" s="103"/>
      <c r="E202" s="22" t="s">
        <v>198</v>
      </c>
      <c r="F202" s="272"/>
      <c r="G202" s="690"/>
      <c r="H202" s="858" t="s">
        <v>88</v>
      </c>
      <c r="I202" s="859"/>
      <c r="J202" s="295">
        <v>8000000</v>
      </c>
      <c r="K202" s="295"/>
      <c r="L202" s="105">
        <f>SUM(J202:K202)</f>
        <v>8000000</v>
      </c>
      <c r="M202" s="105"/>
      <c r="N202" s="105"/>
      <c r="O202" s="105"/>
      <c r="P202" s="105"/>
      <c r="Q202" s="105"/>
      <c r="R202" s="105"/>
      <c r="S202" s="105">
        <f t="shared" si="211"/>
        <v>0</v>
      </c>
      <c r="T202" s="105">
        <f t="shared" si="212"/>
        <v>8000000</v>
      </c>
      <c r="U202" s="105"/>
      <c r="V202" s="105"/>
      <c r="W202" s="105"/>
      <c r="X202" s="105"/>
      <c r="Y202" s="105"/>
      <c r="Z202" s="105">
        <f>SUM(U202:Y202)</f>
        <v>0</v>
      </c>
      <c r="AA202" s="105">
        <f>Z202+T202</f>
        <v>8000000</v>
      </c>
      <c r="AB202" s="105"/>
      <c r="AC202" s="105"/>
      <c r="AD202" s="105"/>
      <c r="AE202" s="105"/>
      <c r="AF202" s="105"/>
      <c r="AG202" s="105">
        <f>SUM(AB202:AF202)</f>
        <v>0</v>
      </c>
      <c r="AH202" s="105">
        <f t="shared" si="213"/>
        <v>8000000</v>
      </c>
      <c r="AI202" s="105">
        <v>9686905</v>
      </c>
      <c r="AJ202" s="732">
        <f>AI202/AH202*100</f>
        <v>121.08631249999999</v>
      </c>
    </row>
    <row r="203" spans="1:36" s="45" customFormat="1" ht="15.75" customHeight="1">
      <c r="A203" s="103"/>
      <c r="B203" s="43"/>
      <c r="C203" s="104">
        <v>3</v>
      </c>
      <c r="D203" s="103"/>
      <c r="E203" s="22" t="s">
        <v>199</v>
      </c>
      <c r="F203" s="689"/>
      <c r="G203" s="690"/>
      <c r="H203" s="858" t="s">
        <v>322</v>
      </c>
      <c r="I203" s="859"/>
      <c r="J203" s="295">
        <v>6000000</v>
      </c>
      <c r="K203" s="295"/>
      <c r="L203" s="105">
        <f>SUM(J203:K203)</f>
        <v>6000000</v>
      </c>
      <c r="M203" s="105"/>
      <c r="N203" s="105"/>
      <c r="O203" s="105"/>
      <c r="P203" s="105"/>
      <c r="Q203" s="105"/>
      <c r="R203" s="105"/>
      <c r="S203" s="105">
        <f t="shared" si="211"/>
        <v>0</v>
      </c>
      <c r="T203" s="105">
        <f t="shared" si="212"/>
        <v>6000000</v>
      </c>
      <c r="U203" s="105"/>
      <c r="V203" s="105"/>
      <c r="W203" s="105"/>
      <c r="X203" s="105"/>
      <c r="Y203" s="105"/>
      <c r="Z203" s="105">
        <f>SUM(U203:Y203)</f>
        <v>0</v>
      </c>
      <c r="AA203" s="105">
        <f>Z203+T203</f>
        <v>6000000</v>
      </c>
      <c r="AB203" s="105"/>
      <c r="AC203" s="105"/>
      <c r="AD203" s="105"/>
      <c r="AE203" s="105"/>
      <c r="AF203" s="105"/>
      <c r="AG203" s="105">
        <f>SUM(AB203:AF203)</f>
        <v>0</v>
      </c>
      <c r="AH203" s="105">
        <f t="shared" si="213"/>
        <v>6000000</v>
      </c>
      <c r="AI203" s="105">
        <v>5068993</v>
      </c>
      <c r="AJ203" s="732">
        <f>AI203/AH203*100</f>
        <v>84.483216666666678</v>
      </c>
    </row>
    <row r="204" spans="1:36" s="45" customFormat="1" ht="15.75" customHeight="1">
      <c r="A204" s="103"/>
      <c r="B204" s="43"/>
      <c r="C204" s="104">
        <v>4</v>
      </c>
      <c r="D204" s="103"/>
      <c r="E204" s="22" t="s">
        <v>198</v>
      </c>
      <c r="F204" s="689"/>
      <c r="G204" s="690"/>
      <c r="H204" s="858" t="s">
        <v>323</v>
      </c>
      <c r="I204" s="859"/>
      <c r="J204" s="295">
        <v>1500000</v>
      </c>
      <c r="K204" s="295"/>
      <c r="L204" s="105">
        <f>SUM(J204:K204)</f>
        <v>1500000</v>
      </c>
      <c r="M204" s="105"/>
      <c r="N204" s="105"/>
      <c r="O204" s="105"/>
      <c r="P204" s="105"/>
      <c r="Q204" s="105"/>
      <c r="R204" s="105"/>
      <c r="S204" s="105">
        <f t="shared" si="211"/>
        <v>0</v>
      </c>
      <c r="T204" s="105">
        <f t="shared" si="212"/>
        <v>1500000</v>
      </c>
      <c r="U204" s="105"/>
      <c r="V204" s="105"/>
      <c r="W204" s="105"/>
      <c r="X204" s="105"/>
      <c r="Y204" s="105"/>
      <c r="Z204" s="105">
        <f>SUM(U204:Y204)</f>
        <v>0</v>
      </c>
      <c r="AA204" s="105">
        <f>Z204+T204</f>
        <v>1500000</v>
      </c>
      <c r="AB204" s="105"/>
      <c r="AC204" s="105"/>
      <c r="AD204" s="105"/>
      <c r="AE204" s="105"/>
      <c r="AF204" s="105"/>
      <c r="AG204" s="105">
        <f>SUM(AB204:AF204)</f>
        <v>0</v>
      </c>
      <c r="AH204" s="105">
        <f t="shared" si="213"/>
        <v>1500000</v>
      </c>
      <c r="AI204" s="105">
        <v>651500</v>
      </c>
      <c r="AJ204" s="732">
        <f>AI204/AH204*100</f>
        <v>43.433333333333337</v>
      </c>
    </row>
    <row r="205" spans="1:36" s="45" customFormat="1" ht="15.75" customHeight="1">
      <c r="A205" s="273"/>
      <c r="B205" s="43"/>
      <c r="C205" s="298">
        <v>5</v>
      </c>
      <c r="D205" s="273"/>
      <c r="E205" s="155" t="s">
        <v>198</v>
      </c>
      <c r="F205" s="689"/>
      <c r="G205" s="690"/>
      <c r="H205" s="858" t="s">
        <v>620</v>
      </c>
      <c r="I205" s="859"/>
      <c r="J205" s="299"/>
      <c r="K205" s="299"/>
      <c r="L205" s="156"/>
      <c r="M205" s="156"/>
      <c r="N205" s="156"/>
      <c r="O205" s="156"/>
      <c r="P205" s="156"/>
      <c r="Q205" s="156"/>
      <c r="R205" s="156"/>
      <c r="S205" s="156"/>
      <c r="T205" s="156"/>
      <c r="U205" s="156"/>
      <c r="V205" s="156"/>
      <c r="W205" s="156"/>
      <c r="X205" s="156"/>
      <c r="Y205" s="156"/>
      <c r="Z205" s="156"/>
      <c r="AA205" s="156"/>
      <c r="AB205" s="156"/>
      <c r="AC205" s="156"/>
      <c r="AD205" s="156"/>
      <c r="AE205" s="156"/>
      <c r="AF205" s="156"/>
      <c r="AG205" s="105">
        <f>SUM(AB205:AF205)</f>
        <v>0</v>
      </c>
      <c r="AH205" s="105">
        <f t="shared" ref="AH205" si="214">AG205+AA205</f>
        <v>0</v>
      </c>
      <c r="AI205" s="156">
        <v>304200</v>
      </c>
      <c r="AJ205" s="735"/>
    </row>
    <row r="206" spans="1:36" s="45" customFormat="1" ht="15.75" customHeight="1">
      <c r="A206" s="103"/>
      <c r="B206" s="43"/>
      <c r="C206" s="104"/>
      <c r="D206" s="103"/>
      <c r="E206" s="22"/>
      <c r="F206" s="689"/>
      <c r="G206" s="690"/>
      <c r="H206" s="689"/>
      <c r="I206" s="684"/>
      <c r="J206" s="295"/>
      <c r="K206" s="295"/>
      <c r="L206" s="105"/>
      <c r="M206" s="105"/>
      <c r="N206" s="105"/>
      <c r="O206" s="105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732"/>
    </row>
    <row r="207" spans="1:36" s="45" customFormat="1" ht="15.75" customHeight="1">
      <c r="A207" s="103"/>
      <c r="B207" s="43"/>
      <c r="C207" s="104"/>
      <c r="D207" s="104"/>
      <c r="E207" s="22"/>
      <c r="F207" s="107"/>
      <c r="G207" s="30"/>
      <c r="H207" s="108"/>
      <c r="I207" s="109" t="s">
        <v>283</v>
      </c>
      <c r="J207" s="49">
        <f>SUM(J201:J206)</f>
        <v>57333000</v>
      </c>
      <c r="K207" s="49"/>
      <c r="L207" s="49">
        <f>SUM(L201:L206)</f>
        <v>57333000</v>
      </c>
      <c r="M207" s="49">
        <f t="shared" ref="M207:T207" si="215">SUM(M201:M206)</f>
        <v>0</v>
      </c>
      <c r="N207" s="49">
        <f t="shared" si="215"/>
        <v>0</v>
      </c>
      <c r="O207" s="49">
        <f t="shared" si="215"/>
        <v>0</v>
      </c>
      <c r="P207" s="49">
        <f t="shared" si="215"/>
        <v>0</v>
      </c>
      <c r="Q207" s="49">
        <f t="shared" si="215"/>
        <v>0</v>
      </c>
      <c r="R207" s="49">
        <f t="shared" si="215"/>
        <v>0</v>
      </c>
      <c r="S207" s="49">
        <f t="shared" si="215"/>
        <v>0</v>
      </c>
      <c r="T207" s="49">
        <f t="shared" si="215"/>
        <v>57333000</v>
      </c>
      <c r="U207" s="49"/>
      <c r="V207" s="49"/>
      <c r="W207" s="49"/>
      <c r="X207" s="49"/>
      <c r="Y207" s="49"/>
      <c r="Z207" s="49">
        <f t="shared" ref="Z207:AA207" si="216">SUM(Z201:Z206)</f>
        <v>0</v>
      </c>
      <c r="AA207" s="49">
        <f t="shared" si="216"/>
        <v>57333000</v>
      </c>
      <c r="AB207" s="49"/>
      <c r="AC207" s="49"/>
      <c r="AD207" s="49"/>
      <c r="AE207" s="49"/>
      <c r="AF207" s="49"/>
      <c r="AG207" s="49">
        <f t="shared" ref="AG207:AI207" si="217">SUM(AG201:AG206)</f>
        <v>0</v>
      </c>
      <c r="AH207" s="49">
        <f t="shared" si="217"/>
        <v>57333000</v>
      </c>
      <c r="AI207" s="49">
        <f t="shared" si="217"/>
        <v>56419461</v>
      </c>
      <c r="AJ207" s="740">
        <f>AI207/AH207*100</f>
        <v>98.406608759353247</v>
      </c>
    </row>
    <row r="208" spans="1:36" s="45" customFormat="1" ht="15.75" customHeight="1">
      <c r="A208" s="103"/>
      <c r="B208" s="43"/>
      <c r="C208" s="104"/>
      <c r="D208" s="104"/>
      <c r="E208" s="22"/>
      <c r="F208" s="8"/>
      <c r="G208" s="28"/>
      <c r="H208" s="7"/>
      <c r="I208" s="68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741"/>
    </row>
    <row r="209" spans="1:36" s="45" customFormat="1" ht="15.75" customHeight="1">
      <c r="A209" s="103"/>
      <c r="B209" s="43">
        <v>3</v>
      </c>
      <c r="C209" s="104"/>
      <c r="D209" s="104"/>
      <c r="E209" s="22"/>
      <c r="G209" s="690" t="s">
        <v>289</v>
      </c>
      <c r="H209" s="684"/>
      <c r="I209" s="68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741"/>
    </row>
    <row r="210" spans="1:36" s="45" customFormat="1" ht="15.75" customHeight="1">
      <c r="A210" s="302"/>
      <c r="B210" s="303"/>
      <c r="C210" s="104">
        <v>1</v>
      </c>
      <c r="D210" s="104"/>
      <c r="E210" s="22" t="s">
        <v>198</v>
      </c>
      <c r="F210" s="272"/>
      <c r="G210" s="690"/>
      <c r="H210" s="689" t="s">
        <v>9</v>
      </c>
      <c r="J210" s="295">
        <v>80000000</v>
      </c>
      <c r="K210" s="295"/>
      <c r="L210" s="105">
        <f>SUM(J210:K210)</f>
        <v>80000000</v>
      </c>
      <c r="M210" s="105"/>
      <c r="N210" s="105"/>
      <c r="O210" s="105"/>
      <c r="P210" s="105"/>
      <c r="Q210" s="105"/>
      <c r="R210" s="105"/>
      <c r="S210" s="105">
        <f t="shared" ref="S210" si="218">SUM(M210:R210)</f>
        <v>0</v>
      </c>
      <c r="T210" s="105">
        <f t="shared" ref="T210" si="219">S210+L210</f>
        <v>80000000</v>
      </c>
      <c r="U210" s="105"/>
      <c r="V210" s="105"/>
      <c r="W210" s="105"/>
      <c r="X210" s="105"/>
      <c r="Y210" s="105"/>
      <c r="Z210" s="105">
        <f>SUM(U210:Y210)</f>
        <v>0</v>
      </c>
      <c r="AA210" s="105">
        <f>Z210+T210</f>
        <v>80000000</v>
      </c>
      <c r="AB210" s="105"/>
      <c r="AC210" s="105"/>
      <c r="AD210" s="105"/>
      <c r="AE210" s="105"/>
      <c r="AF210" s="105"/>
      <c r="AG210" s="105">
        <f>SUM(AB210:AF210)</f>
        <v>0</v>
      </c>
      <c r="AH210" s="105">
        <f t="shared" ref="AH210" si="220">AG210+AA210</f>
        <v>80000000</v>
      </c>
      <c r="AI210" s="105">
        <v>47596580</v>
      </c>
      <c r="AJ210" s="732">
        <f>AI210/AH210*100</f>
        <v>59.495725</v>
      </c>
    </row>
    <row r="211" spans="1:36" s="45" customFormat="1" ht="15.75" customHeight="1">
      <c r="A211" s="304"/>
      <c r="B211" s="303"/>
      <c r="C211" s="298">
        <v>1</v>
      </c>
      <c r="D211" s="298"/>
      <c r="E211" s="155" t="s">
        <v>199</v>
      </c>
      <c r="F211" s="689"/>
      <c r="G211" s="690"/>
      <c r="H211" s="689" t="s">
        <v>9</v>
      </c>
      <c r="J211" s="299"/>
      <c r="K211" s="299"/>
      <c r="L211" s="156"/>
      <c r="M211" s="156"/>
      <c r="N211" s="156"/>
      <c r="O211" s="156"/>
      <c r="P211" s="156"/>
      <c r="Q211" s="156"/>
      <c r="R211" s="156"/>
      <c r="S211" s="156"/>
      <c r="T211" s="156"/>
      <c r="U211" s="156"/>
      <c r="V211" s="156"/>
      <c r="W211" s="156"/>
      <c r="X211" s="156"/>
      <c r="Y211" s="156"/>
      <c r="Z211" s="156"/>
      <c r="AA211" s="156"/>
      <c r="AB211" s="156"/>
      <c r="AC211" s="156"/>
      <c r="AD211" s="156"/>
      <c r="AE211" s="156"/>
      <c r="AF211" s="156"/>
      <c r="AG211" s="156"/>
      <c r="AH211" s="156"/>
      <c r="AI211" s="156">
        <v>268213</v>
      </c>
      <c r="AJ211" s="735"/>
    </row>
    <row r="212" spans="1:36" s="45" customFormat="1" ht="15.75" customHeight="1">
      <c r="A212" s="302"/>
      <c r="B212" s="303"/>
      <c r="C212" s="104"/>
      <c r="D212" s="104"/>
      <c r="E212" s="22"/>
      <c r="F212" s="689"/>
      <c r="G212" s="690"/>
      <c r="H212" s="689"/>
      <c r="I212" s="689"/>
      <c r="J212" s="295"/>
      <c r="K212" s="295"/>
      <c r="L212" s="105"/>
      <c r="M212" s="105"/>
      <c r="N212" s="105"/>
      <c r="O212" s="105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732"/>
    </row>
    <row r="213" spans="1:36" s="45" customFormat="1" ht="15.75" customHeight="1">
      <c r="A213" s="302"/>
      <c r="B213" s="303"/>
      <c r="C213" s="104"/>
      <c r="D213" s="104"/>
      <c r="E213" s="22"/>
      <c r="F213" s="107"/>
      <c r="G213" s="30"/>
      <c r="H213" s="108"/>
      <c r="I213" s="109" t="s">
        <v>283</v>
      </c>
      <c r="J213" s="49">
        <f>SUM(J210:J212)</f>
        <v>80000000</v>
      </c>
      <c r="K213" s="49"/>
      <c r="L213" s="49">
        <f>SUM(L210:L212)</f>
        <v>80000000</v>
      </c>
      <c r="M213" s="49">
        <f t="shared" ref="M213:T213" si="221">SUM(M210:M212)</f>
        <v>0</v>
      </c>
      <c r="N213" s="49">
        <f t="shared" si="221"/>
        <v>0</v>
      </c>
      <c r="O213" s="49">
        <f t="shared" si="221"/>
        <v>0</v>
      </c>
      <c r="P213" s="49">
        <f t="shared" si="221"/>
        <v>0</v>
      </c>
      <c r="Q213" s="49">
        <f t="shared" si="221"/>
        <v>0</v>
      </c>
      <c r="R213" s="49">
        <f t="shared" si="221"/>
        <v>0</v>
      </c>
      <c r="S213" s="49">
        <f t="shared" si="221"/>
        <v>0</v>
      </c>
      <c r="T213" s="49">
        <f t="shared" si="221"/>
        <v>80000000</v>
      </c>
      <c r="U213" s="49"/>
      <c r="V213" s="49"/>
      <c r="W213" s="49"/>
      <c r="X213" s="49"/>
      <c r="Y213" s="49"/>
      <c r="Z213" s="49">
        <f t="shared" ref="Z213:AA213" si="222">SUM(Z210:Z212)</f>
        <v>0</v>
      </c>
      <c r="AA213" s="49">
        <f t="shared" si="222"/>
        <v>80000000</v>
      </c>
      <c r="AB213" s="49"/>
      <c r="AC213" s="49"/>
      <c r="AD213" s="49"/>
      <c r="AE213" s="49"/>
      <c r="AF213" s="49"/>
      <c r="AG213" s="49">
        <f t="shared" ref="AG213:AI213" si="223">SUM(AG210:AG212)</f>
        <v>0</v>
      </c>
      <c r="AH213" s="49">
        <f t="shared" si="223"/>
        <v>80000000</v>
      </c>
      <c r="AI213" s="49">
        <f t="shared" si="223"/>
        <v>47864793</v>
      </c>
      <c r="AJ213" s="740">
        <f>AI213/AH213*100</f>
        <v>59.830991249999997</v>
      </c>
    </row>
    <row r="214" spans="1:36" s="45" customFormat="1" ht="15.75" customHeight="1">
      <c r="A214" s="302"/>
      <c r="B214" s="303"/>
      <c r="C214" s="104"/>
      <c r="D214" s="104"/>
      <c r="E214" s="22"/>
      <c r="F214" s="8"/>
      <c r="G214" s="28"/>
      <c r="H214" s="7"/>
      <c r="I214" s="68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741"/>
    </row>
    <row r="215" spans="1:36" s="45" customFormat="1" ht="15.75" customHeight="1">
      <c r="A215" s="302"/>
      <c r="B215" s="303">
        <v>4</v>
      </c>
      <c r="C215" s="104"/>
      <c r="D215" s="104"/>
      <c r="E215" s="22"/>
      <c r="G215" s="690" t="s">
        <v>290</v>
      </c>
      <c r="H215" s="684"/>
      <c r="I215" s="687"/>
      <c r="J215" s="295"/>
      <c r="K215" s="29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732"/>
    </row>
    <row r="216" spans="1:36" s="45" customFormat="1" ht="16.899999999999999" customHeight="1">
      <c r="A216" s="302"/>
      <c r="B216" s="303"/>
      <c r="C216" s="104">
        <v>1</v>
      </c>
      <c r="D216" s="104"/>
      <c r="E216" s="22" t="s">
        <v>198</v>
      </c>
      <c r="F216" s="272"/>
      <c r="G216" s="690"/>
      <c r="H216" s="689" t="s">
        <v>89</v>
      </c>
      <c r="I216" s="689"/>
      <c r="J216" s="295">
        <v>2600000</v>
      </c>
      <c r="K216" s="295"/>
      <c r="L216" s="105">
        <f t="shared" ref="L216:L232" si="224">SUM(J216:K216)</f>
        <v>2600000</v>
      </c>
      <c r="M216" s="105"/>
      <c r="N216" s="105"/>
      <c r="O216" s="105"/>
      <c r="P216" s="105"/>
      <c r="Q216" s="105"/>
      <c r="R216" s="105"/>
      <c r="S216" s="105">
        <f t="shared" ref="S216:S232" si="225">SUM(M216:R216)</f>
        <v>0</v>
      </c>
      <c r="T216" s="105">
        <f t="shared" ref="T216:T232" si="226">S216+L216</f>
        <v>2600000</v>
      </c>
      <c r="U216" s="105"/>
      <c r="V216" s="105"/>
      <c r="W216" s="105"/>
      <c r="X216" s="105"/>
      <c r="Y216" s="105"/>
      <c r="Z216" s="105">
        <f t="shared" ref="Z216:Z232" si="227">SUM(U216:Y216)</f>
        <v>0</v>
      </c>
      <c r="AA216" s="105">
        <f t="shared" ref="AA216:AA232" si="228">Z216+T216</f>
        <v>2600000</v>
      </c>
      <c r="AB216" s="105"/>
      <c r="AC216" s="105"/>
      <c r="AD216" s="105"/>
      <c r="AE216" s="105"/>
      <c r="AF216" s="105"/>
      <c r="AG216" s="105">
        <f t="shared" ref="AG216:AG232" si="229">SUM(AB216:AF216)</f>
        <v>0</v>
      </c>
      <c r="AH216" s="105">
        <f t="shared" ref="AH216:AH232" si="230">AG216+AA216</f>
        <v>2600000</v>
      </c>
      <c r="AI216" s="105">
        <v>1366580</v>
      </c>
      <c r="AJ216" s="732">
        <f>AI216/AH216*100</f>
        <v>52.560769230769232</v>
      </c>
    </row>
    <row r="217" spans="1:36" s="45" customFormat="1" ht="16.899999999999999" customHeight="1">
      <c r="A217" s="302"/>
      <c r="B217" s="303"/>
      <c r="C217" s="104">
        <v>2</v>
      </c>
      <c r="D217" s="104"/>
      <c r="E217" s="22" t="s">
        <v>199</v>
      </c>
      <c r="F217" s="272"/>
      <c r="G217" s="690"/>
      <c r="H217" s="689" t="s">
        <v>87</v>
      </c>
      <c r="I217" s="689"/>
      <c r="J217" s="295">
        <v>2000000</v>
      </c>
      <c r="K217" s="295"/>
      <c r="L217" s="105">
        <f t="shared" si="224"/>
        <v>2000000</v>
      </c>
      <c r="M217" s="105"/>
      <c r="N217" s="105"/>
      <c r="O217" s="105"/>
      <c r="P217" s="105"/>
      <c r="Q217" s="105"/>
      <c r="R217" s="105"/>
      <c r="S217" s="105">
        <f t="shared" si="225"/>
        <v>0</v>
      </c>
      <c r="T217" s="105">
        <f t="shared" si="226"/>
        <v>2000000</v>
      </c>
      <c r="U217" s="105"/>
      <c r="V217" s="105"/>
      <c r="W217" s="105"/>
      <c r="X217" s="105"/>
      <c r="Y217" s="105"/>
      <c r="Z217" s="105">
        <f t="shared" si="227"/>
        <v>0</v>
      </c>
      <c r="AA217" s="105">
        <f t="shared" si="228"/>
        <v>2000000</v>
      </c>
      <c r="AB217" s="105"/>
      <c r="AC217" s="105"/>
      <c r="AD217" s="105"/>
      <c r="AE217" s="105"/>
      <c r="AF217" s="105"/>
      <c r="AG217" s="105">
        <f t="shared" si="229"/>
        <v>0</v>
      </c>
      <c r="AH217" s="105">
        <f t="shared" si="230"/>
        <v>2000000</v>
      </c>
      <c r="AI217" s="105"/>
      <c r="AJ217" s="732"/>
    </row>
    <row r="218" spans="1:36" s="45" customFormat="1" ht="16.899999999999999" customHeight="1">
      <c r="A218" s="103"/>
      <c r="B218" s="43"/>
      <c r="C218" s="104">
        <v>3</v>
      </c>
      <c r="D218" s="104"/>
      <c r="E218" s="22" t="s">
        <v>199</v>
      </c>
      <c r="F218" s="272"/>
      <c r="G218" s="690"/>
      <c r="H218" s="689" t="s">
        <v>10</v>
      </c>
      <c r="I218" s="689"/>
      <c r="J218" s="105">
        <v>204352000</v>
      </c>
      <c r="K218" s="105"/>
      <c r="L218" s="105">
        <f t="shared" si="224"/>
        <v>204352000</v>
      </c>
      <c r="M218" s="105"/>
      <c r="N218" s="105"/>
      <c r="O218" s="105"/>
      <c r="P218" s="105"/>
      <c r="Q218" s="105"/>
      <c r="R218" s="105"/>
      <c r="S218" s="105">
        <f t="shared" si="225"/>
        <v>0</v>
      </c>
      <c r="T218" s="105">
        <f t="shared" si="226"/>
        <v>204352000</v>
      </c>
      <c r="U218" s="105"/>
      <c r="V218" s="105"/>
      <c r="W218" s="105"/>
      <c r="X218" s="105"/>
      <c r="Y218" s="105"/>
      <c r="Z218" s="105">
        <f t="shared" si="227"/>
        <v>0</v>
      </c>
      <c r="AA218" s="105">
        <f t="shared" si="228"/>
        <v>204352000</v>
      </c>
      <c r="AB218" s="105"/>
      <c r="AC218" s="105"/>
      <c r="AD218" s="105"/>
      <c r="AE218" s="105"/>
      <c r="AF218" s="105"/>
      <c r="AG218" s="105">
        <f t="shared" si="229"/>
        <v>0</v>
      </c>
      <c r="AH218" s="105">
        <f t="shared" si="230"/>
        <v>204352000</v>
      </c>
      <c r="AI218" s="105">
        <v>210582055</v>
      </c>
      <c r="AJ218" s="732">
        <f t="shared" ref="AJ218:AJ232" si="231">AI218/AH218*100</f>
        <v>103.04868804807393</v>
      </c>
    </row>
    <row r="219" spans="1:36" s="45" customFormat="1" ht="16.899999999999999" customHeight="1">
      <c r="A219" s="103"/>
      <c r="B219" s="43"/>
      <c r="C219" s="104">
        <v>4</v>
      </c>
      <c r="D219" s="104"/>
      <c r="E219" s="22" t="s">
        <v>199</v>
      </c>
      <c r="F219" s="272"/>
      <c r="G219" s="690"/>
      <c r="H219" s="689" t="s">
        <v>97</v>
      </c>
      <c r="I219" s="689"/>
      <c r="J219" s="105">
        <v>1453795</v>
      </c>
      <c r="K219" s="105"/>
      <c r="L219" s="105">
        <f t="shared" si="224"/>
        <v>1453795</v>
      </c>
      <c r="M219" s="105"/>
      <c r="N219" s="105"/>
      <c r="O219" s="105"/>
      <c r="P219" s="105"/>
      <c r="Q219" s="105"/>
      <c r="R219" s="105"/>
      <c r="S219" s="105">
        <f t="shared" si="225"/>
        <v>0</v>
      </c>
      <c r="T219" s="105">
        <f t="shared" si="226"/>
        <v>1453795</v>
      </c>
      <c r="U219" s="105"/>
      <c r="V219" s="105"/>
      <c r="W219" s="105"/>
      <c r="X219" s="105"/>
      <c r="Y219" s="105"/>
      <c r="Z219" s="105">
        <f t="shared" si="227"/>
        <v>0</v>
      </c>
      <c r="AA219" s="105">
        <f t="shared" si="228"/>
        <v>1453795</v>
      </c>
      <c r="AB219" s="105"/>
      <c r="AC219" s="105"/>
      <c r="AD219" s="105"/>
      <c r="AE219" s="105"/>
      <c r="AF219" s="105"/>
      <c r="AG219" s="105">
        <f t="shared" si="229"/>
        <v>0</v>
      </c>
      <c r="AH219" s="105">
        <f t="shared" si="230"/>
        <v>1453795</v>
      </c>
      <c r="AI219" s="105">
        <v>652795</v>
      </c>
      <c r="AJ219" s="732">
        <f t="shared" si="231"/>
        <v>44.902823300396548</v>
      </c>
    </row>
    <row r="220" spans="1:36" s="45" customFormat="1" ht="16.899999999999999" customHeight="1">
      <c r="A220" s="103"/>
      <c r="B220" s="43"/>
      <c r="C220" s="104">
        <v>5</v>
      </c>
      <c r="D220" s="104"/>
      <c r="E220" s="22" t="s">
        <v>199</v>
      </c>
      <c r="F220" s="272"/>
      <c r="G220" s="690"/>
      <c r="H220" s="689" t="s">
        <v>98</v>
      </c>
      <c r="I220" s="689"/>
      <c r="J220" s="105">
        <v>309412209</v>
      </c>
      <c r="K220" s="46"/>
      <c r="L220" s="105">
        <f t="shared" si="224"/>
        <v>309412209</v>
      </c>
      <c r="M220" s="105"/>
      <c r="N220" s="105"/>
      <c r="O220" s="105"/>
      <c r="P220" s="105"/>
      <c r="Q220" s="105"/>
      <c r="R220" s="105"/>
      <c r="S220" s="105">
        <f t="shared" si="225"/>
        <v>0</v>
      </c>
      <c r="T220" s="105">
        <f t="shared" si="226"/>
        <v>309412209</v>
      </c>
      <c r="U220" s="105"/>
      <c r="V220" s="105"/>
      <c r="W220" s="105"/>
      <c r="X220" s="105"/>
      <c r="Y220" s="105"/>
      <c r="Z220" s="105">
        <f t="shared" si="227"/>
        <v>0</v>
      </c>
      <c r="AA220" s="105">
        <f t="shared" si="228"/>
        <v>309412209</v>
      </c>
      <c r="AB220" s="105"/>
      <c r="AC220" s="105"/>
      <c r="AD220" s="105"/>
      <c r="AE220" s="105"/>
      <c r="AF220" s="105"/>
      <c r="AG220" s="105">
        <f t="shared" si="229"/>
        <v>0</v>
      </c>
      <c r="AH220" s="105">
        <f t="shared" si="230"/>
        <v>309412209</v>
      </c>
      <c r="AI220" s="105">
        <v>315665142</v>
      </c>
      <c r="AJ220" s="732">
        <f t="shared" si="231"/>
        <v>102.02090700305881</v>
      </c>
    </row>
    <row r="221" spans="1:36" s="45" customFormat="1" ht="16.899999999999999" customHeight="1">
      <c r="A221" s="103"/>
      <c r="B221" s="43"/>
      <c r="C221" s="104">
        <v>6</v>
      </c>
      <c r="D221" s="104"/>
      <c r="E221" s="22" t="s">
        <v>198</v>
      </c>
      <c r="F221" s="272"/>
      <c r="G221" s="690"/>
      <c r="H221" s="689" t="s">
        <v>25</v>
      </c>
      <c r="I221" s="689"/>
      <c r="J221" s="105">
        <v>17000000</v>
      </c>
      <c r="K221" s="105"/>
      <c r="L221" s="105">
        <f t="shared" si="224"/>
        <v>17000000</v>
      </c>
      <c r="M221" s="105"/>
      <c r="N221" s="105"/>
      <c r="O221" s="105"/>
      <c r="P221" s="105"/>
      <c r="Q221" s="105"/>
      <c r="R221" s="105"/>
      <c r="S221" s="105">
        <f t="shared" si="225"/>
        <v>0</v>
      </c>
      <c r="T221" s="105">
        <f t="shared" si="226"/>
        <v>17000000</v>
      </c>
      <c r="U221" s="105"/>
      <c r="V221" s="105"/>
      <c r="W221" s="105"/>
      <c r="X221" s="105"/>
      <c r="Y221" s="105"/>
      <c r="Z221" s="105">
        <f t="shared" si="227"/>
        <v>0</v>
      </c>
      <c r="AA221" s="105">
        <f t="shared" si="228"/>
        <v>17000000</v>
      </c>
      <c r="AB221" s="105"/>
      <c r="AC221" s="105"/>
      <c r="AD221" s="105"/>
      <c r="AE221" s="105"/>
      <c r="AF221" s="105"/>
      <c r="AG221" s="105">
        <f t="shared" si="229"/>
        <v>0</v>
      </c>
      <c r="AH221" s="105">
        <f t="shared" si="230"/>
        <v>17000000</v>
      </c>
      <c r="AI221" s="105">
        <v>21991885</v>
      </c>
      <c r="AJ221" s="732">
        <f t="shared" si="231"/>
        <v>129.3640294117647</v>
      </c>
    </row>
    <row r="222" spans="1:36" s="45" customFormat="1" ht="16.899999999999999" customHeight="1">
      <c r="A222" s="103"/>
      <c r="B222" s="43"/>
      <c r="C222" s="104">
        <v>7</v>
      </c>
      <c r="D222" s="104"/>
      <c r="E222" s="22" t="s">
        <v>199</v>
      </c>
      <c r="F222" s="272"/>
      <c r="G222" s="690"/>
      <c r="H222" s="689" t="s">
        <v>99</v>
      </c>
      <c r="I222" s="689"/>
      <c r="J222" s="105">
        <v>227085000</v>
      </c>
      <c r="K222" s="105"/>
      <c r="L222" s="105">
        <f t="shared" si="224"/>
        <v>227085000</v>
      </c>
      <c r="M222" s="105"/>
      <c r="N222" s="105"/>
      <c r="O222" s="105"/>
      <c r="P222" s="105"/>
      <c r="Q222" s="105"/>
      <c r="R222" s="105"/>
      <c r="S222" s="105">
        <f t="shared" si="225"/>
        <v>0</v>
      </c>
      <c r="T222" s="105">
        <f t="shared" si="226"/>
        <v>227085000</v>
      </c>
      <c r="U222" s="105"/>
      <c r="V222" s="105"/>
      <c r="W222" s="105"/>
      <c r="X222" s="105"/>
      <c r="Y222" s="105"/>
      <c r="Z222" s="105">
        <f t="shared" si="227"/>
        <v>0</v>
      </c>
      <c r="AA222" s="105">
        <f t="shared" si="228"/>
        <v>227085000</v>
      </c>
      <c r="AB222" s="105"/>
      <c r="AC222" s="105"/>
      <c r="AD222" s="105"/>
      <c r="AE222" s="105"/>
      <c r="AF222" s="105"/>
      <c r="AG222" s="105">
        <f t="shared" si="229"/>
        <v>0</v>
      </c>
      <c r="AH222" s="105">
        <f t="shared" si="230"/>
        <v>227085000</v>
      </c>
      <c r="AI222" s="105">
        <v>251978075</v>
      </c>
      <c r="AJ222" s="732">
        <f t="shared" si="231"/>
        <v>110.96200761829272</v>
      </c>
    </row>
    <row r="223" spans="1:36" s="45" customFormat="1" ht="16.899999999999999" customHeight="1">
      <c r="A223" s="305"/>
      <c r="B223" s="306"/>
      <c r="C223" s="104">
        <v>8</v>
      </c>
      <c r="D223" s="104"/>
      <c r="E223" s="22" t="s">
        <v>198</v>
      </c>
      <c r="F223" s="307"/>
      <c r="G223" s="686"/>
      <c r="H223" s="689" t="s">
        <v>19</v>
      </c>
      <c r="I223" s="689"/>
      <c r="J223" s="105">
        <v>1000000</v>
      </c>
      <c r="K223" s="280"/>
      <c r="L223" s="105">
        <f t="shared" si="224"/>
        <v>1000000</v>
      </c>
      <c r="M223" s="105"/>
      <c r="N223" s="105"/>
      <c r="O223" s="105"/>
      <c r="P223" s="105"/>
      <c r="Q223" s="105"/>
      <c r="R223" s="105"/>
      <c r="S223" s="105">
        <f t="shared" si="225"/>
        <v>0</v>
      </c>
      <c r="T223" s="105">
        <f t="shared" si="226"/>
        <v>1000000</v>
      </c>
      <c r="U223" s="105"/>
      <c r="V223" s="105"/>
      <c r="W223" s="105"/>
      <c r="X223" s="105"/>
      <c r="Y223" s="105"/>
      <c r="Z223" s="105">
        <f t="shared" si="227"/>
        <v>0</v>
      </c>
      <c r="AA223" s="105">
        <f t="shared" si="228"/>
        <v>1000000</v>
      </c>
      <c r="AB223" s="105"/>
      <c r="AC223" s="105"/>
      <c r="AD223" s="105"/>
      <c r="AE223" s="105"/>
      <c r="AF223" s="105"/>
      <c r="AG223" s="105">
        <f t="shared" si="229"/>
        <v>0</v>
      </c>
      <c r="AH223" s="105">
        <f t="shared" si="230"/>
        <v>1000000</v>
      </c>
      <c r="AI223" s="105">
        <v>1684300</v>
      </c>
      <c r="AJ223" s="732">
        <f t="shared" si="231"/>
        <v>168.42999999999998</v>
      </c>
    </row>
    <row r="224" spans="1:36" s="45" customFormat="1" ht="14">
      <c r="A224" s="305"/>
      <c r="B224" s="306"/>
      <c r="C224" s="104">
        <v>9</v>
      </c>
      <c r="D224" s="104"/>
      <c r="E224" s="22" t="s">
        <v>198</v>
      </c>
      <c r="F224" s="307"/>
      <c r="G224" s="686"/>
      <c r="H224" s="689" t="s">
        <v>424</v>
      </c>
      <c r="I224" s="689"/>
      <c r="J224" s="105">
        <v>50000</v>
      </c>
      <c r="K224" s="280"/>
      <c r="L224" s="105">
        <f t="shared" si="224"/>
        <v>50000</v>
      </c>
      <c r="M224" s="105"/>
      <c r="N224" s="105"/>
      <c r="O224" s="105"/>
      <c r="P224" s="105"/>
      <c r="Q224" s="105"/>
      <c r="R224" s="105"/>
      <c r="S224" s="105">
        <f t="shared" si="225"/>
        <v>0</v>
      </c>
      <c r="T224" s="105">
        <f t="shared" si="226"/>
        <v>50000</v>
      </c>
      <c r="U224" s="105"/>
      <c r="V224" s="105"/>
      <c r="W224" s="105"/>
      <c r="X224" s="105"/>
      <c r="Y224" s="105"/>
      <c r="Z224" s="105">
        <f t="shared" si="227"/>
        <v>0</v>
      </c>
      <c r="AA224" s="105">
        <f t="shared" si="228"/>
        <v>50000</v>
      </c>
      <c r="AB224" s="105"/>
      <c r="AC224" s="105"/>
      <c r="AD224" s="105"/>
      <c r="AE224" s="105"/>
      <c r="AF224" s="105"/>
      <c r="AG224" s="105">
        <f t="shared" si="229"/>
        <v>0</v>
      </c>
      <c r="AH224" s="105">
        <f t="shared" si="230"/>
        <v>50000</v>
      </c>
      <c r="AI224" s="105">
        <v>90000</v>
      </c>
      <c r="AJ224" s="732">
        <f t="shared" si="231"/>
        <v>180</v>
      </c>
    </row>
    <row r="225" spans="1:36" s="45" customFormat="1" ht="14">
      <c r="A225" s="305"/>
      <c r="B225" s="306"/>
      <c r="C225" s="104">
        <v>10</v>
      </c>
      <c r="D225" s="104"/>
      <c r="E225" s="22" t="s">
        <v>198</v>
      </c>
      <c r="F225" s="272"/>
      <c r="G225" s="690"/>
      <c r="H225" s="689" t="s">
        <v>216</v>
      </c>
      <c r="I225" s="689"/>
      <c r="J225" s="105">
        <v>20000000</v>
      </c>
      <c r="K225" s="105"/>
      <c r="L225" s="105">
        <f t="shared" si="224"/>
        <v>20000000</v>
      </c>
      <c r="M225" s="105"/>
      <c r="N225" s="105"/>
      <c r="O225" s="105"/>
      <c r="P225" s="105"/>
      <c r="Q225" s="105"/>
      <c r="R225" s="105"/>
      <c r="S225" s="105">
        <f t="shared" si="225"/>
        <v>0</v>
      </c>
      <c r="T225" s="105">
        <f t="shared" si="226"/>
        <v>20000000</v>
      </c>
      <c r="U225" s="105"/>
      <c r="V225" s="105"/>
      <c r="W225" s="105"/>
      <c r="X225" s="105"/>
      <c r="Y225" s="105"/>
      <c r="Z225" s="105">
        <f t="shared" si="227"/>
        <v>0</v>
      </c>
      <c r="AA225" s="105">
        <f t="shared" si="228"/>
        <v>20000000</v>
      </c>
      <c r="AB225" s="105"/>
      <c r="AC225" s="105"/>
      <c r="AD225" s="105"/>
      <c r="AE225" s="105"/>
      <c r="AF225" s="105"/>
      <c r="AG225" s="105">
        <f t="shared" si="229"/>
        <v>0</v>
      </c>
      <c r="AH225" s="105">
        <f t="shared" si="230"/>
        <v>20000000</v>
      </c>
      <c r="AI225" s="105">
        <v>19452054</v>
      </c>
      <c r="AJ225" s="732">
        <f t="shared" si="231"/>
        <v>97.260270000000006</v>
      </c>
    </row>
    <row r="226" spans="1:36" s="45" customFormat="1" ht="14">
      <c r="A226" s="305"/>
      <c r="B226" s="306"/>
      <c r="C226" s="104">
        <v>11</v>
      </c>
      <c r="D226" s="104"/>
      <c r="E226" s="22" t="s">
        <v>199</v>
      </c>
      <c r="F226" s="308"/>
      <c r="G226" s="686"/>
      <c r="H226" s="900" t="s">
        <v>324</v>
      </c>
      <c r="I226" s="901"/>
      <c r="J226" s="105">
        <v>1000000</v>
      </c>
      <c r="K226" s="280"/>
      <c r="L226" s="105">
        <f t="shared" si="224"/>
        <v>1000000</v>
      </c>
      <c r="M226" s="105"/>
      <c r="N226" s="105"/>
      <c r="O226" s="105"/>
      <c r="P226" s="105"/>
      <c r="Q226" s="105"/>
      <c r="R226" s="105"/>
      <c r="S226" s="105">
        <f t="shared" si="225"/>
        <v>0</v>
      </c>
      <c r="T226" s="105">
        <f t="shared" si="226"/>
        <v>1000000</v>
      </c>
      <c r="U226" s="105"/>
      <c r="V226" s="105"/>
      <c r="W226" s="105"/>
      <c r="X226" s="105"/>
      <c r="Y226" s="105"/>
      <c r="Z226" s="105">
        <f t="shared" si="227"/>
        <v>0</v>
      </c>
      <c r="AA226" s="105">
        <f t="shared" si="228"/>
        <v>1000000</v>
      </c>
      <c r="AB226" s="105"/>
      <c r="AC226" s="105"/>
      <c r="AD226" s="105"/>
      <c r="AE226" s="105"/>
      <c r="AF226" s="105"/>
      <c r="AG226" s="105">
        <f t="shared" si="229"/>
        <v>0</v>
      </c>
      <c r="AH226" s="105">
        <f t="shared" si="230"/>
        <v>1000000</v>
      </c>
      <c r="AI226" s="105">
        <v>5086915</v>
      </c>
      <c r="AJ226" s="732">
        <f t="shared" si="231"/>
        <v>508.69150000000002</v>
      </c>
    </row>
    <row r="227" spans="1:36" s="45" customFormat="1" ht="14">
      <c r="A227" s="305"/>
      <c r="B227" s="306"/>
      <c r="C227" s="104">
        <v>12</v>
      </c>
      <c r="D227" s="104"/>
      <c r="E227" s="22" t="s">
        <v>198</v>
      </c>
      <c r="F227" s="308"/>
      <c r="G227" s="686"/>
      <c r="H227" s="900" t="s">
        <v>325</v>
      </c>
      <c r="I227" s="901"/>
      <c r="J227" s="105">
        <v>1000000</v>
      </c>
      <c r="K227" s="280"/>
      <c r="L227" s="105">
        <f t="shared" si="224"/>
        <v>1000000</v>
      </c>
      <c r="M227" s="105"/>
      <c r="N227" s="105"/>
      <c r="O227" s="105"/>
      <c r="P227" s="105"/>
      <c r="Q227" s="105"/>
      <c r="R227" s="105"/>
      <c r="S227" s="105">
        <f t="shared" si="225"/>
        <v>0</v>
      </c>
      <c r="T227" s="105">
        <f t="shared" si="226"/>
        <v>1000000</v>
      </c>
      <c r="U227" s="105"/>
      <c r="V227" s="105"/>
      <c r="W227" s="105"/>
      <c r="X227" s="105"/>
      <c r="Y227" s="105"/>
      <c r="Z227" s="105">
        <f t="shared" si="227"/>
        <v>0</v>
      </c>
      <c r="AA227" s="105">
        <f t="shared" si="228"/>
        <v>1000000</v>
      </c>
      <c r="AB227" s="105"/>
      <c r="AC227" s="105"/>
      <c r="AD227" s="105"/>
      <c r="AE227" s="105"/>
      <c r="AF227" s="105"/>
      <c r="AG227" s="105">
        <f t="shared" si="229"/>
        <v>0</v>
      </c>
      <c r="AH227" s="105">
        <f t="shared" si="230"/>
        <v>1000000</v>
      </c>
      <c r="AI227" s="105">
        <v>1362202</v>
      </c>
      <c r="AJ227" s="732">
        <f t="shared" si="231"/>
        <v>136.22019999999998</v>
      </c>
    </row>
    <row r="228" spans="1:36" s="45" customFormat="1" ht="14">
      <c r="A228" s="305"/>
      <c r="B228" s="306"/>
      <c r="C228" s="309">
        <v>13</v>
      </c>
      <c r="D228" s="104"/>
      <c r="E228" s="22" t="s">
        <v>198</v>
      </c>
      <c r="F228" s="308"/>
      <c r="G228" s="686"/>
      <c r="H228" s="900" t="s">
        <v>326</v>
      </c>
      <c r="I228" s="901"/>
      <c r="J228" s="105">
        <v>1500000</v>
      </c>
      <c r="K228" s="280"/>
      <c r="L228" s="105">
        <f t="shared" si="224"/>
        <v>1500000</v>
      </c>
      <c r="M228" s="105"/>
      <c r="N228" s="105"/>
      <c r="O228" s="105"/>
      <c r="P228" s="105"/>
      <c r="Q228" s="105"/>
      <c r="R228" s="105"/>
      <c r="S228" s="105">
        <f t="shared" si="225"/>
        <v>0</v>
      </c>
      <c r="T228" s="105">
        <f t="shared" si="226"/>
        <v>1500000</v>
      </c>
      <c r="U228" s="105"/>
      <c r="V228" s="105"/>
      <c r="W228" s="105"/>
      <c r="X228" s="105"/>
      <c r="Y228" s="105"/>
      <c r="Z228" s="105">
        <f t="shared" si="227"/>
        <v>0</v>
      </c>
      <c r="AA228" s="105">
        <f t="shared" si="228"/>
        <v>1500000</v>
      </c>
      <c r="AB228" s="105"/>
      <c r="AC228" s="105"/>
      <c r="AD228" s="105"/>
      <c r="AE228" s="105"/>
      <c r="AF228" s="105"/>
      <c r="AG228" s="105">
        <f t="shared" si="229"/>
        <v>0</v>
      </c>
      <c r="AH228" s="105">
        <f t="shared" si="230"/>
        <v>1500000</v>
      </c>
      <c r="AI228" s="105">
        <v>2450000</v>
      </c>
      <c r="AJ228" s="732">
        <f t="shared" si="231"/>
        <v>163.33333333333334</v>
      </c>
    </row>
    <row r="229" spans="1:36" s="45" customFormat="1" ht="14">
      <c r="A229" s="305"/>
      <c r="B229" s="306"/>
      <c r="C229" s="104">
        <v>14</v>
      </c>
      <c r="D229" s="104"/>
      <c r="E229" s="22" t="s">
        <v>198</v>
      </c>
      <c r="F229" s="308"/>
      <c r="G229" s="686"/>
      <c r="H229" s="689" t="s">
        <v>356</v>
      </c>
      <c r="I229" s="689"/>
      <c r="J229" s="105">
        <v>1000000</v>
      </c>
      <c r="K229" s="280"/>
      <c r="L229" s="105">
        <f t="shared" si="224"/>
        <v>1000000</v>
      </c>
      <c r="M229" s="105"/>
      <c r="N229" s="105"/>
      <c r="O229" s="105"/>
      <c r="P229" s="105"/>
      <c r="Q229" s="105"/>
      <c r="R229" s="105"/>
      <c r="S229" s="105">
        <f t="shared" si="225"/>
        <v>0</v>
      </c>
      <c r="T229" s="105">
        <f t="shared" si="226"/>
        <v>1000000</v>
      </c>
      <c r="U229" s="105"/>
      <c r="V229" s="105"/>
      <c r="W229" s="105"/>
      <c r="X229" s="105"/>
      <c r="Y229" s="105"/>
      <c r="Z229" s="105">
        <f t="shared" si="227"/>
        <v>0</v>
      </c>
      <c r="AA229" s="105">
        <f t="shared" si="228"/>
        <v>1000000</v>
      </c>
      <c r="AB229" s="105"/>
      <c r="AC229" s="105"/>
      <c r="AD229" s="105"/>
      <c r="AE229" s="105"/>
      <c r="AF229" s="105"/>
      <c r="AG229" s="105">
        <f t="shared" si="229"/>
        <v>0</v>
      </c>
      <c r="AH229" s="105">
        <f t="shared" si="230"/>
        <v>1000000</v>
      </c>
      <c r="AI229" s="105">
        <v>2238841</v>
      </c>
      <c r="AJ229" s="732">
        <f t="shared" si="231"/>
        <v>223.88409999999999</v>
      </c>
    </row>
    <row r="230" spans="1:36" s="45" customFormat="1" ht="14">
      <c r="A230" s="305"/>
      <c r="B230" s="306"/>
      <c r="C230" s="309">
        <v>15</v>
      </c>
      <c r="D230" s="104"/>
      <c r="E230" s="22" t="s">
        <v>199</v>
      </c>
      <c r="F230" s="308"/>
      <c r="G230" s="686"/>
      <c r="H230" s="689" t="s">
        <v>357</v>
      </c>
      <c r="I230" s="689"/>
      <c r="J230" s="105">
        <v>300000</v>
      </c>
      <c r="K230" s="280"/>
      <c r="L230" s="105">
        <f t="shared" si="224"/>
        <v>300000</v>
      </c>
      <c r="M230" s="105"/>
      <c r="N230" s="105"/>
      <c r="O230" s="105"/>
      <c r="P230" s="105"/>
      <c r="Q230" s="105"/>
      <c r="R230" s="105"/>
      <c r="S230" s="105">
        <f t="shared" si="225"/>
        <v>0</v>
      </c>
      <c r="T230" s="105">
        <f t="shared" si="226"/>
        <v>300000</v>
      </c>
      <c r="U230" s="105"/>
      <c r="V230" s="105"/>
      <c r="W230" s="105"/>
      <c r="X230" s="105"/>
      <c r="Y230" s="105"/>
      <c r="Z230" s="105">
        <f t="shared" si="227"/>
        <v>0</v>
      </c>
      <c r="AA230" s="105">
        <f t="shared" si="228"/>
        <v>300000</v>
      </c>
      <c r="AB230" s="105"/>
      <c r="AC230" s="105"/>
      <c r="AD230" s="105"/>
      <c r="AE230" s="105"/>
      <c r="AF230" s="105"/>
      <c r="AG230" s="105">
        <f t="shared" si="229"/>
        <v>0</v>
      </c>
      <c r="AH230" s="105">
        <f t="shared" si="230"/>
        <v>300000</v>
      </c>
      <c r="AI230" s="105">
        <v>300000</v>
      </c>
      <c r="AJ230" s="732">
        <f t="shared" si="231"/>
        <v>100</v>
      </c>
    </row>
    <row r="231" spans="1:36" s="45" customFormat="1" ht="14">
      <c r="A231" s="305"/>
      <c r="B231" s="306"/>
      <c r="C231" s="104">
        <v>16</v>
      </c>
      <c r="D231" s="104"/>
      <c r="E231" s="22" t="s">
        <v>198</v>
      </c>
      <c r="F231" s="308"/>
      <c r="G231" s="686"/>
      <c r="H231" s="689" t="s">
        <v>358</v>
      </c>
      <c r="I231" s="689"/>
      <c r="J231" s="105">
        <v>4000000</v>
      </c>
      <c r="K231" s="280"/>
      <c r="L231" s="105">
        <f t="shared" si="224"/>
        <v>4000000</v>
      </c>
      <c r="M231" s="105"/>
      <c r="N231" s="105"/>
      <c r="O231" s="105"/>
      <c r="P231" s="105"/>
      <c r="Q231" s="105"/>
      <c r="R231" s="105"/>
      <c r="S231" s="105">
        <f t="shared" si="225"/>
        <v>0</v>
      </c>
      <c r="T231" s="105">
        <f t="shared" si="226"/>
        <v>4000000</v>
      </c>
      <c r="U231" s="105"/>
      <c r="V231" s="105"/>
      <c r="W231" s="105"/>
      <c r="X231" s="105"/>
      <c r="Y231" s="105"/>
      <c r="Z231" s="105">
        <f t="shared" si="227"/>
        <v>0</v>
      </c>
      <c r="AA231" s="105">
        <f t="shared" si="228"/>
        <v>4000000</v>
      </c>
      <c r="AB231" s="105"/>
      <c r="AC231" s="105"/>
      <c r="AD231" s="105"/>
      <c r="AE231" s="105"/>
      <c r="AF231" s="105"/>
      <c r="AG231" s="105">
        <f t="shared" si="229"/>
        <v>0</v>
      </c>
      <c r="AH231" s="105">
        <f t="shared" si="230"/>
        <v>4000000</v>
      </c>
      <c r="AI231" s="105">
        <v>4388509</v>
      </c>
      <c r="AJ231" s="732">
        <f t="shared" si="231"/>
        <v>109.71272500000001</v>
      </c>
    </row>
    <row r="232" spans="1:36" s="45" customFormat="1" ht="14">
      <c r="A232" s="305"/>
      <c r="B232" s="306"/>
      <c r="C232" s="309">
        <v>17</v>
      </c>
      <c r="D232" s="104"/>
      <c r="E232" s="22" t="s">
        <v>198</v>
      </c>
      <c r="F232" s="308"/>
      <c r="G232" s="686"/>
      <c r="H232" s="689" t="s">
        <v>359</v>
      </c>
      <c r="I232" s="689"/>
      <c r="J232" s="105">
        <v>600000</v>
      </c>
      <c r="K232" s="280"/>
      <c r="L232" s="105">
        <f t="shared" si="224"/>
        <v>600000</v>
      </c>
      <c r="M232" s="105"/>
      <c r="N232" s="105"/>
      <c r="O232" s="105"/>
      <c r="P232" s="105"/>
      <c r="Q232" s="105"/>
      <c r="R232" s="105"/>
      <c r="S232" s="105">
        <f t="shared" si="225"/>
        <v>0</v>
      </c>
      <c r="T232" s="105">
        <f t="shared" si="226"/>
        <v>600000</v>
      </c>
      <c r="U232" s="105"/>
      <c r="V232" s="105"/>
      <c r="W232" s="105"/>
      <c r="X232" s="105"/>
      <c r="Y232" s="105"/>
      <c r="Z232" s="105">
        <f t="shared" si="227"/>
        <v>0</v>
      </c>
      <c r="AA232" s="105">
        <f t="shared" si="228"/>
        <v>600000</v>
      </c>
      <c r="AB232" s="105"/>
      <c r="AC232" s="105"/>
      <c r="AD232" s="105"/>
      <c r="AE232" s="105"/>
      <c r="AF232" s="105"/>
      <c r="AG232" s="105">
        <f t="shared" si="229"/>
        <v>0</v>
      </c>
      <c r="AH232" s="105">
        <f t="shared" si="230"/>
        <v>600000</v>
      </c>
      <c r="AI232" s="105">
        <v>669613</v>
      </c>
      <c r="AJ232" s="732">
        <f t="shared" si="231"/>
        <v>111.60216666666668</v>
      </c>
    </row>
    <row r="233" spans="1:36" s="45" customFormat="1" ht="14">
      <c r="A233" s="725"/>
      <c r="B233" s="726"/>
      <c r="C233" s="104">
        <v>18</v>
      </c>
      <c r="D233" s="298"/>
      <c r="E233" s="155" t="s">
        <v>198</v>
      </c>
      <c r="F233" s="308"/>
      <c r="G233" s="709"/>
      <c r="H233" s="713" t="s">
        <v>690</v>
      </c>
      <c r="I233" s="713"/>
      <c r="J233" s="156"/>
      <c r="K233" s="727"/>
      <c r="L233" s="156"/>
      <c r="M233" s="156"/>
      <c r="N233" s="156"/>
      <c r="O233" s="156"/>
      <c r="P233" s="156"/>
      <c r="Q233" s="156"/>
      <c r="R233" s="156"/>
      <c r="S233" s="156"/>
      <c r="T233" s="156"/>
      <c r="U233" s="156"/>
      <c r="V233" s="156"/>
      <c r="W233" s="156"/>
      <c r="X233" s="156"/>
      <c r="Y233" s="156"/>
      <c r="Z233" s="156"/>
      <c r="AA233" s="156"/>
      <c r="AB233" s="156"/>
      <c r="AC233" s="156"/>
      <c r="AD233" s="156"/>
      <c r="AE233" s="156"/>
      <c r="AF233" s="156"/>
      <c r="AG233" s="105">
        <f t="shared" ref="AG233" si="232">SUM(AB233:AF233)</f>
        <v>0</v>
      </c>
      <c r="AH233" s="105">
        <f t="shared" ref="AH233" si="233">AG233+AA233</f>
        <v>0</v>
      </c>
      <c r="AI233" s="156">
        <v>1764740</v>
      </c>
      <c r="AJ233" s="735"/>
    </row>
    <row r="234" spans="1:36" s="45" customFormat="1" ht="14">
      <c r="A234" s="305"/>
      <c r="B234" s="306"/>
      <c r="C234" s="309"/>
      <c r="D234" s="104"/>
      <c r="E234" s="22"/>
      <c r="F234" s="308"/>
      <c r="G234" s="686"/>
      <c r="H234" s="689"/>
      <c r="I234" s="689"/>
      <c r="J234" s="105"/>
      <c r="K234" s="280"/>
      <c r="L234" s="105"/>
      <c r="M234" s="105"/>
      <c r="N234" s="105"/>
      <c r="O234" s="105"/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732"/>
    </row>
    <row r="235" spans="1:36" s="45" customFormat="1" ht="16.5" customHeight="1">
      <c r="A235" s="302"/>
      <c r="B235" s="303"/>
      <c r="C235" s="104"/>
      <c r="D235" s="104"/>
      <c r="E235" s="22"/>
      <c r="F235" s="107"/>
      <c r="G235" s="30"/>
      <c r="H235" s="108"/>
      <c r="I235" s="109" t="s">
        <v>283</v>
      </c>
      <c r="J235" s="49">
        <f>SUM(J216:J232)</f>
        <v>794353004</v>
      </c>
      <c r="K235" s="49"/>
      <c r="L235" s="49">
        <f>SUM(L215:L232)</f>
        <v>794353004</v>
      </c>
      <c r="M235" s="49">
        <f t="shared" ref="M235:T235" si="234">SUM(M215:M232)</f>
        <v>0</v>
      </c>
      <c r="N235" s="49">
        <f t="shared" si="234"/>
        <v>0</v>
      </c>
      <c r="O235" s="49">
        <f t="shared" si="234"/>
        <v>0</v>
      </c>
      <c r="P235" s="49">
        <f t="shared" si="234"/>
        <v>0</v>
      </c>
      <c r="Q235" s="49">
        <f t="shared" si="234"/>
        <v>0</v>
      </c>
      <c r="R235" s="49">
        <f t="shared" si="234"/>
        <v>0</v>
      </c>
      <c r="S235" s="49">
        <f t="shared" si="234"/>
        <v>0</v>
      </c>
      <c r="T235" s="49">
        <f t="shared" si="234"/>
        <v>794353004</v>
      </c>
      <c r="U235" s="49"/>
      <c r="V235" s="49"/>
      <c r="W235" s="49"/>
      <c r="X235" s="49"/>
      <c r="Y235" s="49"/>
      <c r="Z235" s="49">
        <f t="shared" ref="Z235:AA235" si="235">SUM(Z215:Z232)</f>
        <v>0</v>
      </c>
      <c r="AA235" s="49">
        <f t="shared" si="235"/>
        <v>794353004</v>
      </c>
      <c r="AB235" s="49"/>
      <c r="AC235" s="49"/>
      <c r="AD235" s="49"/>
      <c r="AE235" s="49"/>
      <c r="AF235" s="49"/>
      <c r="AG235" s="49">
        <f t="shared" ref="AG235:AH235" si="236">SUM(AG215:AG232)</f>
        <v>0</v>
      </c>
      <c r="AH235" s="49">
        <f t="shared" si="236"/>
        <v>794353004</v>
      </c>
      <c r="AI235" s="49">
        <f>SUM(AI215:AI233)</f>
        <v>841723706</v>
      </c>
      <c r="AJ235" s="740">
        <f>AI235/AH235*100</f>
        <v>105.96343209649397</v>
      </c>
    </row>
    <row r="236" spans="1:36" s="45" customFormat="1" ht="16.5" customHeight="1">
      <c r="A236" s="302"/>
      <c r="B236" s="303"/>
      <c r="C236" s="104"/>
      <c r="D236" s="104"/>
      <c r="E236" s="22"/>
      <c r="F236" s="8"/>
      <c r="G236" s="28"/>
      <c r="H236" s="7"/>
      <c r="I236" s="68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741"/>
    </row>
    <row r="237" spans="1:36" s="45" customFormat="1" ht="16.5" customHeight="1">
      <c r="A237" s="302"/>
      <c r="B237" s="303">
        <v>5</v>
      </c>
      <c r="C237" s="104"/>
      <c r="D237" s="104"/>
      <c r="E237" s="22"/>
      <c r="F237" s="310"/>
      <c r="G237" s="690" t="s">
        <v>256</v>
      </c>
      <c r="H237" s="689"/>
      <c r="I237" s="293"/>
      <c r="J237" s="311"/>
      <c r="K237" s="295"/>
      <c r="L237" s="105"/>
      <c r="M237" s="105"/>
      <c r="N237" s="105"/>
      <c r="O237" s="105"/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5"/>
      <c r="AD237" s="105"/>
      <c r="AE237" s="105"/>
      <c r="AF237" s="105"/>
      <c r="AG237" s="105"/>
      <c r="AH237" s="105"/>
      <c r="AI237" s="105"/>
      <c r="AJ237" s="732"/>
    </row>
    <row r="238" spans="1:36" s="45" customFormat="1" ht="16.5" customHeight="1">
      <c r="A238" s="103"/>
      <c r="B238" s="43"/>
      <c r="C238" s="104">
        <v>1</v>
      </c>
      <c r="D238" s="104"/>
      <c r="E238" s="22" t="s">
        <v>199</v>
      </c>
      <c r="F238" s="694"/>
      <c r="G238" s="690"/>
      <c r="H238" s="689" t="s">
        <v>71</v>
      </c>
      <c r="I238" s="689"/>
      <c r="J238" s="312">
        <v>252370221</v>
      </c>
      <c r="K238" s="295"/>
      <c r="L238" s="105">
        <f>SUM(J238:K238)</f>
        <v>252370221</v>
      </c>
      <c r="M238" s="105"/>
      <c r="N238" s="105"/>
      <c r="O238" s="105"/>
      <c r="P238" s="105"/>
      <c r="Q238" s="105"/>
      <c r="R238" s="105"/>
      <c r="S238" s="105">
        <f t="shared" ref="S238:S240" si="237">SUM(M238:R238)</f>
        <v>0</v>
      </c>
      <c r="T238" s="105">
        <f t="shared" ref="T238:T240" si="238">S238+L238</f>
        <v>252370221</v>
      </c>
      <c r="U238" s="105"/>
      <c r="V238" s="105"/>
      <c r="W238" s="105"/>
      <c r="X238" s="105"/>
      <c r="Y238" s="105"/>
      <c r="Z238" s="105">
        <f>SUM(U238:Y238)</f>
        <v>0</v>
      </c>
      <c r="AA238" s="105">
        <f>Z238+T238</f>
        <v>252370221</v>
      </c>
      <c r="AB238" s="105"/>
      <c r="AC238" s="105"/>
      <c r="AD238" s="105"/>
      <c r="AE238" s="105"/>
      <c r="AF238" s="105"/>
      <c r="AG238" s="105">
        <f>SUM(AB238:AF238)</f>
        <v>0</v>
      </c>
      <c r="AH238" s="105">
        <f t="shared" ref="AH238:AH240" si="239">AG238+AA238</f>
        <v>252370221</v>
      </c>
      <c r="AI238" s="105">
        <v>244336678</v>
      </c>
      <c r="AJ238" s="732">
        <f>AI238/AH238*100</f>
        <v>96.816762703552101</v>
      </c>
    </row>
    <row r="239" spans="1:36" s="45" customFormat="1" ht="16.5" customHeight="1">
      <c r="A239" s="302"/>
      <c r="B239" s="303"/>
      <c r="C239" s="104">
        <v>2</v>
      </c>
      <c r="D239" s="104"/>
      <c r="E239" s="22" t="s">
        <v>199</v>
      </c>
      <c r="F239" s="694"/>
      <c r="G239" s="690"/>
      <c r="H239" s="689" t="s">
        <v>109</v>
      </c>
      <c r="I239" s="689"/>
      <c r="J239" s="312">
        <v>1350000</v>
      </c>
      <c r="K239" s="312"/>
      <c r="L239" s="105">
        <f>SUM(J239:K239)</f>
        <v>1350000</v>
      </c>
      <c r="M239" s="105"/>
      <c r="N239" s="105"/>
      <c r="O239" s="105"/>
      <c r="P239" s="105"/>
      <c r="Q239" s="105"/>
      <c r="R239" s="105"/>
      <c r="S239" s="105">
        <f t="shared" si="237"/>
        <v>0</v>
      </c>
      <c r="T239" s="105">
        <f t="shared" si="238"/>
        <v>1350000</v>
      </c>
      <c r="U239" s="105"/>
      <c r="V239" s="105"/>
      <c r="W239" s="105"/>
      <c r="X239" s="105"/>
      <c r="Y239" s="105"/>
      <c r="Z239" s="105">
        <f>SUM(U239:Y239)</f>
        <v>0</v>
      </c>
      <c r="AA239" s="105">
        <f>Z239+T239</f>
        <v>1350000</v>
      </c>
      <c r="AB239" s="105"/>
      <c r="AC239" s="105"/>
      <c r="AD239" s="105"/>
      <c r="AE239" s="105"/>
      <c r="AF239" s="105"/>
      <c r="AG239" s="105">
        <f>SUM(AB239:AF239)</f>
        <v>0</v>
      </c>
      <c r="AH239" s="105">
        <f t="shared" si="239"/>
        <v>1350000</v>
      </c>
      <c r="AI239" s="105">
        <v>12445218</v>
      </c>
      <c r="AJ239" s="732">
        <f>AI239/AH239*100</f>
        <v>921.86800000000005</v>
      </c>
    </row>
    <row r="240" spans="1:36" s="45" customFormat="1" ht="16.5" customHeight="1">
      <c r="A240" s="304"/>
      <c r="B240" s="303"/>
      <c r="C240" s="298">
        <v>3</v>
      </c>
      <c r="D240" s="298"/>
      <c r="E240" s="155" t="s">
        <v>199</v>
      </c>
      <c r="F240" s="690"/>
      <c r="G240" s="690"/>
      <c r="H240" s="689" t="s">
        <v>488</v>
      </c>
      <c r="I240" s="689"/>
      <c r="J240" s="313">
        <v>53470000</v>
      </c>
      <c r="K240" s="299"/>
      <c r="L240" s="105">
        <f>SUM(J240:K240)</f>
        <v>53470000</v>
      </c>
      <c r="M240" s="105"/>
      <c r="N240" s="105"/>
      <c r="O240" s="105"/>
      <c r="P240" s="105"/>
      <c r="Q240" s="105"/>
      <c r="R240" s="105"/>
      <c r="S240" s="105">
        <f t="shared" si="237"/>
        <v>0</v>
      </c>
      <c r="T240" s="105">
        <f t="shared" si="238"/>
        <v>53470000</v>
      </c>
      <c r="U240" s="105"/>
      <c r="V240" s="105"/>
      <c r="W240" s="105"/>
      <c r="X240" s="105"/>
      <c r="Y240" s="105"/>
      <c r="Z240" s="105">
        <f>SUM(U240:Y240)</f>
        <v>0</v>
      </c>
      <c r="AA240" s="105">
        <f>Z240+T240</f>
        <v>53470000</v>
      </c>
      <c r="AB240" s="105"/>
      <c r="AC240" s="105"/>
      <c r="AD240" s="105"/>
      <c r="AE240" s="105"/>
      <c r="AF240" s="105"/>
      <c r="AG240" s="105">
        <f>SUM(AB240:AF240)</f>
        <v>0</v>
      </c>
      <c r="AH240" s="105">
        <f t="shared" si="239"/>
        <v>53470000</v>
      </c>
      <c r="AI240" s="105">
        <v>53470000</v>
      </c>
      <c r="AJ240" s="732">
        <f>AI240/AH240*100</f>
        <v>100</v>
      </c>
    </row>
    <row r="241" spans="1:36" s="45" customFormat="1" ht="16.5" customHeight="1">
      <c r="A241" s="103"/>
      <c r="B241" s="43"/>
      <c r="C241" s="104"/>
      <c r="D241" s="104"/>
      <c r="E241" s="22"/>
      <c r="F241" s="689"/>
      <c r="G241" s="690"/>
      <c r="H241" s="689"/>
      <c r="I241" s="699"/>
      <c r="J241" s="700"/>
      <c r="K241" s="701"/>
      <c r="L241" s="701"/>
      <c r="M241" s="314"/>
      <c r="N241" s="314"/>
      <c r="O241" s="314"/>
      <c r="P241" s="314"/>
      <c r="Q241" s="314"/>
      <c r="R241" s="314"/>
      <c r="S241" s="314"/>
      <c r="T241" s="314"/>
      <c r="U241" s="314"/>
      <c r="V241" s="314"/>
      <c r="W241" s="314"/>
      <c r="X241" s="314"/>
      <c r="Y241" s="314"/>
      <c r="Z241" s="314"/>
      <c r="AA241" s="314"/>
      <c r="AB241" s="314"/>
      <c r="AC241" s="314"/>
      <c r="AD241" s="314"/>
      <c r="AE241" s="314"/>
      <c r="AF241" s="314"/>
      <c r="AG241" s="314"/>
      <c r="AH241" s="314"/>
      <c r="AI241" s="314"/>
      <c r="AJ241" s="743"/>
    </row>
    <row r="242" spans="1:36" s="45" customFormat="1" ht="15.5" customHeight="1">
      <c r="A242" s="103"/>
      <c r="B242" s="43"/>
      <c r="C242" s="104"/>
      <c r="D242" s="104"/>
      <c r="E242" s="22"/>
      <c r="F242" s="107"/>
      <c r="G242" s="30"/>
      <c r="H242" s="108"/>
      <c r="I242" s="109" t="s">
        <v>283</v>
      </c>
      <c r="J242" s="49">
        <f>SUM(J238:J241)</f>
        <v>307190221</v>
      </c>
      <c r="K242" s="49">
        <f t="shared" ref="K242:T242" si="240">SUM(K238:K241)</f>
        <v>0</v>
      </c>
      <c r="L242" s="49">
        <f t="shared" si="240"/>
        <v>307190221</v>
      </c>
      <c r="M242" s="49">
        <f t="shared" si="240"/>
        <v>0</v>
      </c>
      <c r="N242" s="49">
        <f t="shared" si="240"/>
        <v>0</v>
      </c>
      <c r="O242" s="49">
        <f t="shared" si="240"/>
        <v>0</v>
      </c>
      <c r="P242" s="49">
        <f t="shared" si="240"/>
        <v>0</v>
      </c>
      <c r="Q242" s="49">
        <f t="shared" si="240"/>
        <v>0</v>
      </c>
      <c r="R242" s="49">
        <f t="shared" si="240"/>
        <v>0</v>
      </c>
      <c r="S242" s="49">
        <f t="shared" si="240"/>
        <v>0</v>
      </c>
      <c r="T242" s="49">
        <f t="shared" si="240"/>
        <v>307190221</v>
      </c>
      <c r="U242" s="49"/>
      <c r="V242" s="49"/>
      <c r="W242" s="49"/>
      <c r="X242" s="49"/>
      <c r="Y242" s="49"/>
      <c r="Z242" s="49">
        <f t="shared" ref="Z242:AA242" si="241">SUM(Z238:Z241)</f>
        <v>0</v>
      </c>
      <c r="AA242" s="49">
        <f t="shared" si="241"/>
        <v>307190221</v>
      </c>
      <c r="AB242" s="49"/>
      <c r="AC242" s="49"/>
      <c r="AD242" s="49"/>
      <c r="AE242" s="49"/>
      <c r="AF242" s="49"/>
      <c r="AG242" s="49">
        <f t="shared" ref="AG242:AI242" si="242">SUM(AG238:AG241)</f>
        <v>0</v>
      </c>
      <c r="AH242" s="49">
        <f t="shared" si="242"/>
        <v>307190221</v>
      </c>
      <c r="AI242" s="49">
        <f t="shared" si="242"/>
        <v>310251896</v>
      </c>
      <c r="AJ242" s="740">
        <f>AI242/AH242*100</f>
        <v>100.99667072409835</v>
      </c>
    </row>
    <row r="243" spans="1:36" s="45" customFormat="1" ht="15.5" customHeight="1">
      <c r="A243" s="103"/>
      <c r="B243" s="43"/>
      <c r="C243" s="104"/>
      <c r="D243" s="104"/>
      <c r="E243" s="22"/>
      <c r="F243" s="8"/>
      <c r="G243" s="28"/>
      <c r="H243" s="7"/>
      <c r="I243" s="114"/>
      <c r="J243" s="50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741"/>
    </row>
    <row r="244" spans="1:36" s="45" customFormat="1" ht="15.5" customHeight="1">
      <c r="A244" s="302"/>
      <c r="B244" s="303">
        <v>6</v>
      </c>
      <c r="C244" s="104"/>
      <c r="D244" s="104"/>
      <c r="E244" s="22"/>
      <c r="F244" s="310"/>
      <c r="G244" s="690" t="s">
        <v>291</v>
      </c>
      <c r="H244" s="689"/>
      <c r="I244" s="293"/>
      <c r="J244" s="311"/>
      <c r="K244" s="295"/>
      <c r="L244" s="105"/>
      <c r="M244" s="105"/>
      <c r="N244" s="105"/>
      <c r="O244" s="105"/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732"/>
    </row>
    <row r="245" spans="1:36" s="45" customFormat="1" ht="15.5" customHeight="1">
      <c r="A245" s="103"/>
      <c r="B245" s="43"/>
      <c r="C245" s="104">
        <v>1</v>
      </c>
      <c r="D245" s="104"/>
      <c r="E245" s="22" t="s">
        <v>199</v>
      </c>
      <c r="F245" s="694"/>
      <c r="G245" s="690"/>
      <c r="H245" s="689" t="s">
        <v>18</v>
      </c>
      <c r="I245" s="689"/>
      <c r="J245" s="315">
        <v>10000000</v>
      </c>
      <c r="K245" s="105"/>
      <c r="L245" s="105">
        <f>SUM(J245:K245)</f>
        <v>10000000</v>
      </c>
      <c r="M245" s="105"/>
      <c r="N245" s="105"/>
      <c r="O245" s="105"/>
      <c r="P245" s="105"/>
      <c r="Q245" s="105"/>
      <c r="R245" s="105"/>
      <c r="S245" s="105">
        <f t="shared" ref="S245:S247" si="243">SUM(M245:R245)</f>
        <v>0</v>
      </c>
      <c r="T245" s="105">
        <f t="shared" ref="T245:T247" si="244">S245+L245</f>
        <v>10000000</v>
      </c>
      <c r="U245" s="105"/>
      <c r="V245" s="105"/>
      <c r="W245" s="105"/>
      <c r="X245" s="105"/>
      <c r="Y245" s="105"/>
      <c r="Z245" s="105">
        <f>SUM(U245:Y245)</f>
        <v>0</v>
      </c>
      <c r="AA245" s="105">
        <f>Z245+T245</f>
        <v>10000000</v>
      </c>
      <c r="AB245" s="105"/>
      <c r="AC245" s="105">
        <v>79076849</v>
      </c>
      <c r="AD245" s="105"/>
      <c r="AE245" s="105"/>
      <c r="AF245" s="105"/>
      <c r="AG245" s="105">
        <f>SUM(AB245:AF245)</f>
        <v>79076849</v>
      </c>
      <c r="AH245" s="105">
        <f t="shared" ref="AH245:AH247" si="245">AG245+AA245</f>
        <v>89076849</v>
      </c>
      <c r="AI245" s="105">
        <v>89058518</v>
      </c>
      <c r="AJ245" s="732">
        <f>AI245/AH245*100</f>
        <v>99.979421140054029</v>
      </c>
    </row>
    <row r="246" spans="1:36" s="45" customFormat="1" ht="15.5" customHeight="1">
      <c r="A246" s="273"/>
      <c r="B246" s="43"/>
      <c r="C246" s="298">
        <v>2</v>
      </c>
      <c r="D246" s="298"/>
      <c r="E246" s="155" t="s">
        <v>199</v>
      </c>
      <c r="F246" s="316"/>
      <c r="G246" s="690"/>
      <c r="H246" s="689" t="s">
        <v>489</v>
      </c>
      <c r="I246" s="689"/>
      <c r="J246" s="317">
        <v>37500000</v>
      </c>
      <c r="K246" s="156"/>
      <c r="L246" s="105">
        <f t="shared" ref="L246:L247" si="246">SUM(J246:K246)</f>
        <v>37500000</v>
      </c>
      <c r="M246" s="105"/>
      <c r="N246" s="105"/>
      <c r="O246" s="105"/>
      <c r="P246" s="105"/>
      <c r="Q246" s="105"/>
      <c r="R246" s="105"/>
      <c r="S246" s="105">
        <f t="shared" si="243"/>
        <v>0</v>
      </c>
      <c r="T246" s="105">
        <f t="shared" si="244"/>
        <v>37500000</v>
      </c>
      <c r="U246" s="105"/>
      <c r="V246" s="105"/>
      <c r="W246" s="105"/>
      <c r="X246" s="105"/>
      <c r="Y246" s="105"/>
      <c r="Z246" s="105">
        <f>SUM(U246:Y246)</f>
        <v>0</v>
      </c>
      <c r="AA246" s="105">
        <f>Z246+T246</f>
        <v>37500000</v>
      </c>
      <c r="AB246" s="105"/>
      <c r="AC246" s="105"/>
      <c r="AD246" s="105"/>
      <c r="AE246" s="105">
        <v>2749177</v>
      </c>
      <c r="AF246" s="105"/>
      <c r="AG246" s="105">
        <f>SUM(AB246:AF246)</f>
        <v>2749177</v>
      </c>
      <c r="AH246" s="105">
        <f t="shared" si="245"/>
        <v>40249177</v>
      </c>
      <c r="AI246" s="105">
        <v>40249177</v>
      </c>
      <c r="AJ246" s="732">
        <f>AI246/AH246*100</f>
        <v>100</v>
      </c>
    </row>
    <row r="247" spans="1:36" s="45" customFormat="1" ht="15.5" customHeight="1">
      <c r="A247" s="103"/>
      <c r="B247" s="43"/>
      <c r="C247" s="104">
        <v>3</v>
      </c>
      <c r="D247" s="104"/>
      <c r="E247" s="22" t="s">
        <v>199</v>
      </c>
      <c r="F247" s="272"/>
      <c r="G247" s="690"/>
      <c r="H247" s="689" t="s">
        <v>298</v>
      </c>
      <c r="I247" s="689"/>
      <c r="J247" s="315">
        <v>1043658</v>
      </c>
      <c r="K247" s="46"/>
      <c r="L247" s="105">
        <f t="shared" si="246"/>
        <v>1043658</v>
      </c>
      <c r="M247" s="105"/>
      <c r="N247" s="105"/>
      <c r="O247" s="105"/>
      <c r="P247" s="105"/>
      <c r="Q247" s="105"/>
      <c r="R247" s="105"/>
      <c r="S247" s="105">
        <f t="shared" si="243"/>
        <v>0</v>
      </c>
      <c r="T247" s="105">
        <f t="shared" si="244"/>
        <v>1043658</v>
      </c>
      <c r="U247" s="105"/>
      <c r="V247" s="105"/>
      <c r="W247" s="105"/>
      <c r="X247" s="105"/>
      <c r="Y247" s="105"/>
      <c r="Z247" s="105">
        <f>SUM(U247:Y247)</f>
        <v>0</v>
      </c>
      <c r="AA247" s="105">
        <f>Z247+T247</f>
        <v>1043658</v>
      </c>
      <c r="AB247" s="105"/>
      <c r="AC247" s="105"/>
      <c r="AD247" s="105"/>
      <c r="AE247" s="105"/>
      <c r="AF247" s="105"/>
      <c r="AG247" s="105">
        <f>SUM(AB247:AF247)</f>
        <v>0</v>
      </c>
      <c r="AH247" s="105">
        <f t="shared" si="245"/>
        <v>1043658</v>
      </c>
      <c r="AI247" s="105">
        <v>1504325</v>
      </c>
      <c r="AJ247" s="732">
        <f>AI247/AH247*100</f>
        <v>144.13965111176265</v>
      </c>
    </row>
    <row r="248" spans="1:36" s="45" customFormat="1" ht="15.5" customHeight="1">
      <c r="A248" s="103"/>
      <c r="B248" s="43"/>
      <c r="C248" s="104"/>
      <c r="D248" s="104"/>
      <c r="E248" s="22"/>
      <c r="F248" s="689"/>
      <c r="G248" s="690"/>
      <c r="H248" s="689"/>
      <c r="I248" s="112"/>
      <c r="J248" s="315"/>
      <c r="K248" s="46"/>
      <c r="L248" s="105"/>
      <c r="M248" s="105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  <c r="AF248" s="105"/>
      <c r="AG248" s="105"/>
      <c r="AH248" s="105"/>
      <c r="AI248" s="105"/>
      <c r="AJ248" s="732"/>
    </row>
    <row r="249" spans="1:36" s="45" customFormat="1" ht="14">
      <c r="A249" s="103"/>
      <c r="B249" s="43"/>
      <c r="C249" s="104"/>
      <c r="D249" s="104"/>
      <c r="E249" s="22"/>
      <c r="F249" s="107"/>
      <c r="G249" s="30"/>
      <c r="H249" s="108"/>
      <c r="I249" s="109" t="s">
        <v>283</v>
      </c>
      <c r="J249" s="49">
        <f>SUM(J245:J247)</f>
        <v>48543658</v>
      </c>
      <c r="K249" s="49"/>
      <c r="L249" s="49">
        <f>SUM(L245:L247)</f>
        <v>48543658</v>
      </c>
      <c r="M249" s="49">
        <f t="shared" ref="M249:T249" si="247">SUM(M245:M247)</f>
        <v>0</v>
      </c>
      <c r="N249" s="49">
        <f t="shared" si="247"/>
        <v>0</v>
      </c>
      <c r="O249" s="49">
        <f t="shared" si="247"/>
        <v>0</v>
      </c>
      <c r="P249" s="49">
        <f t="shared" si="247"/>
        <v>0</v>
      </c>
      <c r="Q249" s="49">
        <f t="shared" si="247"/>
        <v>0</v>
      </c>
      <c r="R249" s="49">
        <f t="shared" si="247"/>
        <v>0</v>
      </c>
      <c r="S249" s="49">
        <f t="shared" si="247"/>
        <v>0</v>
      </c>
      <c r="T249" s="49">
        <f t="shared" si="247"/>
        <v>48543658</v>
      </c>
      <c r="U249" s="49"/>
      <c r="V249" s="49"/>
      <c r="W249" s="49"/>
      <c r="X249" s="49"/>
      <c r="Y249" s="49"/>
      <c r="Z249" s="49">
        <f t="shared" ref="Z249:AE249" si="248">SUM(Z245:Z247)</f>
        <v>0</v>
      </c>
      <c r="AA249" s="49">
        <f t="shared" si="248"/>
        <v>48543658</v>
      </c>
      <c r="AB249" s="49"/>
      <c r="AC249" s="49">
        <f t="shared" si="248"/>
        <v>79076849</v>
      </c>
      <c r="AD249" s="49">
        <f t="shared" si="248"/>
        <v>0</v>
      </c>
      <c r="AE249" s="49">
        <f t="shared" si="248"/>
        <v>2749177</v>
      </c>
      <c r="AF249" s="49"/>
      <c r="AG249" s="49">
        <f t="shared" ref="AG249:AI249" si="249">SUM(AG245:AG247)</f>
        <v>81826026</v>
      </c>
      <c r="AH249" s="49">
        <f t="shared" si="249"/>
        <v>130369684</v>
      </c>
      <c r="AI249" s="49">
        <f t="shared" si="249"/>
        <v>130812020</v>
      </c>
      <c r="AJ249" s="740">
        <f>AI249/AH249*100</f>
        <v>100.33929360448552</v>
      </c>
    </row>
    <row r="250" spans="1:36" s="45" customFormat="1" ht="15.5" customHeight="1">
      <c r="A250" s="103"/>
      <c r="B250" s="43"/>
      <c r="C250" s="104"/>
      <c r="D250" s="104"/>
      <c r="E250" s="22"/>
      <c r="F250" s="8"/>
      <c r="G250" s="28"/>
      <c r="H250" s="7"/>
      <c r="I250" s="68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741"/>
    </row>
    <row r="251" spans="1:36" s="45" customFormat="1" ht="13.5" customHeight="1">
      <c r="A251" s="103"/>
      <c r="B251" s="43">
        <v>7</v>
      </c>
      <c r="C251" s="104"/>
      <c r="D251" s="104"/>
      <c r="E251" s="22"/>
      <c r="F251" s="310"/>
      <c r="G251" s="690" t="s">
        <v>292</v>
      </c>
      <c r="H251" s="689"/>
      <c r="I251" s="293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741"/>
    </row>
    <row r="252" spans="1:36" s="45" customFormat="1" ht="15" customHeight="1">
      <c r="A252" s="103"/>
      <c r="B252" s="43"/>
      <c r="C252" s="104">
        <v>1</v>
      </c>
      <c r="D252" s="104"/>
      <c r="E252" s="22" t="s">
        <v>198</v>
      </c>
      <c r="F252" s="690"/>
      <c r="G252" s="690"/>
      <c r="H252" s="858" t="s">
        <v>90</v>
      </c>
      <c r="I252" s="859"/>
      <c r="J252" s="105">
        <v>2500000</v>
      </c>
      <c r="K252" s="47"/>
      <c r="L252" s="105">
        <f>SUM(J252:K252)</f>
        <v>2500000</v>
      </c>
      <c r="M252" s="105"/>
      <c r="N252" s="105"/>
      <c r="O252" s="105"/>
      <c r="P252" s="105"/>
      <c r="Q252" s="105"/>
      <c r="R252" s="105"/>
      <c r="S252" s="105">
        <f t="shared" ref="S252:S254" si="250">SUM(M252:R252)</f>
        <v>0</v>
      </c>
      <c r="T252" s="105">
        <f t="shared" ref="T252:T254" si="251">S252+L252</f>
        <v>2500000</v>
      </c>
      <c r="U252" s="105"/>
      <c r="V252" s="105"/>
      <c r="W252" s="105"/>
      <c r="X252" s="105"/>
      <c r="Y252" s="105"/>
      <c r="Z252" s="105">
        <f t="shared" ref="Z252:Z257" si="252">SUM(U252:Y252)</f>
        <v>0</v>
      </c>
      <c r="AA252" s="105">
        <f t="shared" ref="AA252:AA257" si="253">Z252+T252</f>
        <v>2500000</v>
      </c>
      <c r="AB252" s="105"/>
      <c r="AC252" s="105"/>
      <c r="AD252" s="105"/>
      <c r="AE252" s="105"/>
      <c r="AF252" s="105"/>
      <c r="AG252" s="105">
        <f t="shared" ref="AG252:AG257" si="254">SUM(AB252:AF252)</f>
        <v>0</v>
      </c>
      <c r="AH252" s="105">
        <f t="shared" ref="AH252:AH257" si="255">AG252+AA252</f>
        <v>2500000</v>
      </c>
      <c r="AI252" s="105">
        <v>1466143</v>
      </c>
      <c r="AJ252" s="732">
        <f>AI252/AH252*100</f>
        <v>58.645720000000004</v>
      </c>
    </row>
    <row r="253" spans="1:36" s="45" customFormat="1" ht="15" customHeight="1">
      <c r="A253" s="273"/>
      <c r="B253" s="43"/>
      <c r="C253" s="298">
        <v>1</v>
      </c>
      <c r="D253" s="298"/>
      <c r="E253" s="155" t="s">
        <v>199</v>
      </c>
      <c r="F253" s="690"/>
      <c r="G253" s="690"/>
      <c r="H253" s="858" t="s">
        <v>90</v>
      </c>
      <c r="I253" s="859"/>
      <c r="J253" s="156"/>
      <c r="K253" s="226"/>
      <c r="L253" s="156"/>
      <c r="M253" s="156"/>
      <c r="N253" s="156"/>
      <c r="O253" s="156">
        <v>149930314</v>
      </c>
      <c r="P253" s="156"/>
      <c r="Q253" s="156"/>
      <c r="R253" s="156"/>
      <c r="S253" s="105">
        <f t="shared" ref="S253" si="256">SUM(M253:R253)</f>
        <v>149930314</v>
      </c>
      <c r="T253" s="105">
        <f t="shared" ref="T253" si="257">S253+L253</f>
        <v>149930314</v>
      </c>
      <c r="U253" s="156"/>
      <c r="V253" s="156"/>
      <c r="W253" s="156"/>
      <c r="X253" s="156"/>
      <c r="Y253" s="156"/>
      <c r="Z253" s="105">
        <f t="shared" si="252"/>
        <v>0</v>
      </c>
      <c r="AA253" s="105">
        <f t="shared" si="253"/>
        <v>149930314</v>
      </c>
      <c r="AB253" s="156"/>
      <c r="AC253" s="156">
        <v>-149930314</v>
      </c>
      <c r="AD253" s="156"/>
      <c r="AE253" s="156"/>
      <c r="AF253" s="156"/>
      <c r="AG253" s="105">
        <f t="shared" si="254"/>
        <v>-149930314</v>
      </c>
      <c r="AH253" s="105">
        <f t="shared" si="255"/>
        <v>0</v>
      </c>
      <c r="AI253" s="105">
        <v>5410028</v>
      </c>
      <c r="AJ253" s="732"/>
    </row>
    <row r="254" spans="1:36" s="45" customFormat="1" ht="30" customHeight="1">
      <c r="A254" s="103"/>
      <c r="B254" s="43"/>
      <c r="C254" s="104">
        <v>2</v>
      </c>
      <c r="D254" s="104"/>
      <c r="E254" s="22" t="s">
        <v>198</v>
      </c>
      <c r="F254" s="8"/>
      <c r="G254" s="28"/>
      <c r="H254" s="858" t="s">
        <v>327</v>
      </c>
      <c r="I254" s="859"/>
      <c r="J254" s="105">
        <v>500000</v>
      </c>
      <c r="K254" s="47"/>
      <c r="L254" s="105">
        <f>SUM(J254:K254)</f>
        <v>500000</v>
      </c>
      <c r="M254" s="105"/>
      <c r="N254" s="105"/>
      <c r="O254" s="105"/>
      <c r="P254" s="105"/>
      <c r="Q254" s="105"/>
      <c r="R254" s="105"/>
      <c r="S254" s="105">
        <f t="shared" si="250"/>
        <v>0</v>
      </c>
      <c r="T254" s="105">
        <f t="shared" si="251"/>
        <v>500000</v>
      </c>
      <c r="U254" s="105"/>
      <c r="V254" s="105"/>
      <c r="W254" s="105"/>
      <c r="X254" s="105"/>
      <c r="Y254" s="105"/>
      <c r="Z254" s="105">
        <f t="shared" si="252"/>
        <v>0</v>
      </c>
      <c r="AA254" s="105">
        <f t="shared" si="253"/>
        <v>500000</v>
      </c>
      <c r="AB254" s="105"/>
      <c r="AC254" s="105"/>
      <c r="AD254" s="105"/>
      <c r="AE254" s="105"/>
      <c r="AF254" s="105"/>
      <c r="AG254" s="105">
        <f t="shared" si="254"/>
        <v>0</v>
      </c>
      <c r="AH254" s="105">
        <f t="shared" si="255"/>
        <v>500000</v>
      </c>
      <c r="AI254" s="105">
        <v>1428188</v>
      </c>
      <c r="AJ254" s="732">
        <f>AI254/AH254*100</f>
        <v>285.63760000000002</v>
      </c>
    </row>
    <row r="255" spans="1:36" s="45" customFormat="1" ht="14">
      <c r="A255" s="273"/>
      <c r="B255" s="43"/>
      <c r="C255" s="298">
        <v>3</v>
      </c>
      <c r="D255" s="298"/>
      <c r="E255" s="155" t="s">
        <v>199</v>
      </c>
      <c r="F255" s="8"/>
      <c r="G255" s="28"/>
      <c r="H255" s="858" t="s">
        <v>621</v>
      </c>
      <c r="I255" s="859"/>
      <c r="J255" s="156"/>
      <c r="K255" s="226"/>
      <c r="L255" s="156"/>
      <c r="M255" s="156"/>
      <c r="N255" s="156"/>
      <c r="O255" s="156"/>
      <c r="P255" s="156"/>
      <c r="Q255" s="156"/>
      <c r="R255" s="156"/>
      <c r="S255" s="105">
        <f t="shared" ref="S255:S257" si="258">SUM(M255:R255)</f>
        <v>0</v>
      </c>
      <c r="T255" s="105">
        <f t="shared" ref="T255:T257" si="259">S255+L255</f>
        <v>0</v>
      </c>
      <c r="U255" s="156"/>
      <c r="V255" s="156"/>
      <c r="W255" s="156"/>
      <c r="X255" s="156"/>
      <c r="Y255" s="156"/>
      <c r="Z255" s="105">
        <f t="shared" si="252"/>
        <v>0</v>
      </c>
      <c r="AA255" s="105">
        <f t="shared" si="253"/>
        <v>0</v>
      </c>
      <c r="AB255" s="156"/>
      <c r="AC255" s="156"/>
      <c r="AD255" s="156"/>
      <c r="AE255" s="156"/>
      <c r="AF255" s="156"/>
      <c r="AG255" s="105">
        <f t="shared" si="254"/>
        <v>0</v>
      </c>
      <c r="AH255" s="105">
        <f t="shared" si="255"/>
        <v>0</v>
      </c>
      <c r="AI255" s="105">
        <v>3487510</v>
      </c>
      <c r="AJ255" s="732"/>
    </row>
    <row r="256" spans="1:36" s="45" customFormat="1" ht="14">
      <c r="A256" s="273"/>
      <c r="B256" s="43"/>
      <c r="C256" s="298">
        <v>3</v>
      </c>
      <c r="D256" s="298"/>
      <c r="E256" s="155" t="s">
        <v>198</v>
      </c>
      <c r="F256" s="8"/>
      <c r="G256" s="28"/>
      <c r="H256" s="858" t="s">
        <v>621</v>
      </c>
      <c r="I256" s="859"/>
      <c r="J256" s="156"/>
      <c r="K256" s="226"/>
      <c r="L256" s="156"/>
      <c r="M256" s="156"/>
      <c r="N256" s="156"/>
      <c r="O256" s="156"/>
      <c r="P256" s="156"/>
      <c r="Q256" s="156"/>
      <c r="R256" s="156"/>
      <c r="S256" s="105">
        <f t="shared" si="258"/>
        <v>0</v>
      </c>
      <c r="T256" s="105">
        <f t="shared" si="259"/>
        <v>0</v>
      </c>
      <c r="U256" s="156"/>
      <c r="V256" s="156"/>
      <c r="W256" s="156"/>
      <c r="X256" s="156"/>
      <c r="Y256" s="156"/>
      <c r="Z256" s="105">
        <f t="shared" si="252"/>
        <v>0</v>
      </c>
      <c r="AA256" s="105">
        <f t="shared" si="253"/>
        <v>0</v>
      </c>
      <c r="AB256" s="156"/>
      <c r="AC256" s="156"/>
      <c r="AD256" s="156"/>
      <c r="AE256" s="156"/>
      <c r="AF256" s="156"/>
      <c r="AG256" s="105">
        <f t="shared" si="254"/>
        <v>0</v>
      </c>
      <c r="AH256" s="105">
        <f t="shared" si="255"/>
        <v>0</v>
      </c>
      <c r="AI256" s="105"/>
      <c r="AJ256" s="732"/>
    </row>
    <row r="257" spans="1:36" s="45" customFormat="1" ht="14">
      <c r="A257" s="273"/>
      <c r="B257" s="43"/>
      <c r="C257" s="298">
        <v>4</v>
      </c>
      <c r="D257" s="298"/>
      <c r="E257" s="155" t="s">
        <v>199</v>
      </c>
      <c r="F257" s="8"/>
      <c r="G257" s="28"/>
      <c r="H257" s="858" t="s">
        <v>622</v>
      </c>
      <c r="I257" s="859"/>
      <c r="J257" s="156"/>
      <c r="K257" s="226"/>
      <c r="L257" s="156"/>
      <c r="M257" s="156"/>
      <c r="N257" s="156"/>
      <c r="O257" s="156"/>
      <c r="P257" s="156"/>
      <c r="Q257" s="156"/>
      <c r="R257" s="156"/>
      <c r="S257" s="105">
        <f t="shared" si="258"/>
        <v>0</v>
      </c>
      <c r="T257" s="105">
        <f t="shared" si="259"/>
        <v>0</v>
      </c>
      <c r="U257" s="156"/>
      <c r="V257" s="156"/>
      <c r="W257" s="156"/>
      <c r="X257" s="156"/>
      <c r="Y257" s="156"/>
      <c r="Z257" s="105">
        <f t="shared" si="252"/>
        <v>0</v>
      </c>
      <c r="AA257" s="105">
        <f t="shared" si="253"/>
        <v>0</v>
      </c>
      <c r="AB257" s="156"/>
      <c r="AC257" s="156">
        <v>26502725</v>
      </c>
      <c r="AD257" s="156"/>
      <c r="AE257" s="156"/>
      <c r="AF257" s="156"/>
      <c r="AG257" s="105">
        <f t="shared" si="254"/>
        <v>26502725</v>
      </c>
      <c r="AH257" s="105">
        <f t="shared" si="255"/>
        <v>26502725</v>
      </c>
      <c r="AI257" s="105">
        <v>28127225</v>
      </c>
      <c r="AJ257" s="732">
        <f>AI257/AH257*100</f>
        <v>106.12955837560101</v>
      </c>
    </row>
    <row r="258" spans="1:36" s="45" customFormat="1" ht="8" customHeight="1">
      <c r="A258" s="103"/>
      <c r="B258" s="43"/>
      <c r="C258" s="104"/>
      <c r="D258" s="104"/>
      <c r="E258" s="22"/>
      <c r="F258" s="8"/>
      <c r="G258" s="28"/>
      <c r="H258" s="7"/>
      <c r="I258" s="684"/>
      <c r="J258" s="105"/>
      <c r="K258" s="47"/>
      <c r="L258" s="105"/>
      <c r="M258" s="105"/>
      <c r="N258" s="105"/>
      <c r="O258" s="105"/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732"/>
    </row>
    <row r="259" spans="1:36" s="45" customFormat="1" ht="15" customHeight="1">
      <c r="A259" s="103"/>
      <c r="B259" s="43"/>
      <c r="C259" s="104"/>
      <c r="D259" s="104"/>
      <c r="E259" s="22"/>
      <c r="F259" s="107"/>
      <c r="G259" s="30"/>
      <c r="H259" s="108"/>
      <c r="I259" s="109" t="s">
        <v>283</v>
      </c>
      <c r="J259" s="49">
        <f>SUM(J252:J258)</f>
        <v>3000000</v>
      </c>
      <c r="K259" s="49"/>
      <c r="L259" s="49">
        <f t="shared" ref="L259:T259" si="260">SUM(L252:L258)</f>
        <v>3000000</v>
      </c>
      <c r="M259" s="49">
        <f t="shared" si="260"/>
        <v>0</v>
      </c>
      <c r="N259" s="49">
        <f t="shared" si="260"/>
        <v>0</v>
      </c>
      <c r="O259" s="49">
        <f t="shared" si="260"/>
        <v>149930314</v>
      </c>
      <c r="P259" s="49">
        <f t="shared" si="260"/>
        <v>0</v>
      </c>
      <c r="Q259" s="49">
        <f t="shared" si="260"/>
        <v>0</v>
      </c>
      <c r="R259" s="49">
        <f t="shared" si="260"/>
        <v>0</v>
      </c>
      <c r="S259" s="49">
        <f t="shared" si="260"/>
        <v>149930314</v>
      </c>
      <c r="T259" s="49">
        <f t="shared" si="260"/>
        <v>152930314</v>
      </c>
      <c r="U259" s="49"/>
      <c r="V259" s="49"/>
      <c r="W259" s="49"/>
      <c r="X259" s="49"/>
      <c r="Y259" s="49"/>
      <c r="Z259" s="49">
        <f t="shared" ref="Z259:AA259" si="261">SUM(Z252:Z258)</f>
        <v>0</v>
      </c>
      <c r="AA259" s="49">
        <f t="shared" si="261"/>
        <v>152930314</v>
      </c>
      <c r="AB259" s="49">
        <f t="shared" ref="AB259:AE259" si="262">SUM(AB252:AB258)</f>
        <v>0</v>
      </c>
      <c r="AC259" s="49">
        <f t="shared" si="262"/>
        <v>-123427589</v>
      </c>
      <c r="AD259" s="49">
        <f t="shared" si="262"/>
        <v>0</v>
      </c>
      <c r="AE259" s="49">
        <f t="shared" si="262"/>
        <v>0</v>
      </c>
      <c r="AF259" s="49"/>
      <c r="AG259" s="49">
        <f t="shared" ref="AG259:AH259" si="263">SUM(AG252:AG258)</f>
        <v>-123427589</v>
      </c>
      <c r="AH259" s="49">
        <f t="shared" si="263"/>
        <v>29502725</v>
      </c>
      <c r="AI259" s="49">
        <f t="shared" ref="AI259" si="264">SUM(AI252:AI258)</f>
        <v>39919094</v>
      </c>
      <c r="AJ259" s="740">
        <f>AI259/AH259*100</f>
        <v>135.30646406391273</v>
      </c>
    </row>
    <row r="260" spans="1:36" s="45" customFormat="1" ht="14">
      <c r="A260" s="103"/>
      <c r="B260" s="43"/>
      <c r="C260" s="104"/>
      <c r="D260" s="104"/>
      <c r="E260" s="22"/>
      <c r="F260" s="19"/>
      <c r="G260" s="29"/>
      <c r="H260" s="18"/>
      <c r="I260" s="106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742"/>
    </row>
    <row r="261" spans="1:36" s="45" customFormat="1" ht="15" customHeight="1">
      <c r="A261" s="103"/>
      <c r="B261" s="43"/>
      <c r="C261" s="104"/>
      <c r="D261" s="104"/>
      <c r="E261" s="22"/>
      <c r="F261" s="20" t="s">
        <v>37</v>
      </c>
      <c r="G261" s="20"/>
      <c r="H261" s="4"/>
      <c r="I261" s="5"/>
      <c r="J261" s="101">
        <f t="shared" ref="J261:T261" si="265">SUM(J194:J259)/2</f>
        <v>1290519883</v>
      </c>
      <c r="K261" s="101">
        <f t="shared" si="265"/>
        <v>0</v>
      </c>
      <c r="L261" s="101">
        <f t="shared" si="265"/>
        <v>1290519883</v>
      </c>
      <c r="M261" s="101">
        <f t="shared" si="265"/>
        <v>0</v>
      </c>
      <c r="N261" s="101">
        <f t="shared" si="265"/>
        <v>0</v>
      </c>
      <c r="O261" s="101">
        <f t="shared" si="265"/>
        <v>149930314</v>
      </c>
      <c r="P261" s="101">
        <f t="shared" si="265"/>
        <v>0</v>
      </c>
      <c r="Q261" s="101">
        <f t="shared" si="265"/>
        <v>0</v>
      </c>
      <c r="R261" s="101">
        <f t="shared" si="265"/>
        <v>0</v>
      </c>
      <c r="S261" s="101">
        <f t="shared" si="265"/>
        <v>149930314</v>
      </c>
      <c r="T261" s="101">
        <f t="shared" si="265"/>
        <v>1440450197</v>
      </c>
      <c r="U261" s="101"/>
      <c r="V261" s="101"/>
      <c r="W261" s="101"/>
      <c r="X261" s="101"/>
      <c r="Y261" s="101"/>
      <c r="Z261" s="101">
        <f t="shared" ref="Z261:AA261" si="266">SUM(Z194:Z259)/2</f>
        <v>0</v>
      </c>
      <c r="AA261" s="101">
        <f t="shared" si="266"/>
        <v>1440450197</v>
      </c>
      <c r="AB261" s="101">
        <f t="shared" ref="AB261:AE261" si="267">SUM(AB194:AB259)/2</f>
        <v>0</v>
      </c>
      <c r="AC261" s="101">
        <f t="shared" si="267"/>
        <v>-44350740</v>
      </c>
      <c r="AD261" s="101">
        <f t="shared" si="267"/>
        <v>0</v>
      </c>
      <c r="AE261" s="101">
        <f t="shared" si="267"/>
        <v>2749177</v>
      </c>
      <c r="AF261" s="101"/>
      <c r="AG261" s="101">
        <f t="shared" ref="AG261:AH261" si="268">SUM(AG194:AG259)/2</f>
        <v>-41601563</v>
      </c>
      <c r="AH261" s="101">
        <f t="shared" si="268"/>
        <v>1398848634</v>
      </c>
      <c r="AI261" s="101">
        <f t="shared" ref="AI261" si="269">SUM(AI194:AI259)/2</f>
        <v>1427129202</v>
      </c>
      <c r="AJ261" s="733">
        <f>AI261/AH261*100</f>
        <v>102.0217032288284</v>
      </c>
    </row>
    <row r="262" spans="1:36" s="45" customFormat="1" ht="15" customHeight="1">
      <c r="A262" s="103"/>
      <c r="B262" s="43"/>
      <c r="C262" s="104"/>
      <c r="D262" s="104"/>
      <c r="E262" s="22"/>
      <c r="F262" s="6"/>
      <c r="G262" s="6"/>
      <c r="H262" s="7"/>
      <c r="I262" s="8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734"/>
    </row>
    <row r="263" spans="1:36" s="45" customFormat="1" ht="15" customHeight="1">
      <c r="A263" s="103">
        <v>4</v>
      </c>
      <c r="B263" s="43"/>
      <c r="C263" s="104"/>
      <c r="D263" s="103">
        <v>5</v>
      </c>
      <c r="E263" s="22"/>
      <c r="F263" s="690" t="s">
        <v>293</v>
      </c>
      <c r="G263" s="6"/>
      <c r="H263" s="7"/>
      <c r="I263" s="687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734"/>
    </row>
    <row r="264" spans="1:36" s="45" customFormat="1" ht="15" customHeight="1">
      <c r="A264" s="302"/>
      <c r="B264" s="303">
        <v>1</v>
      </c>
      <c r="C264" s="104"/>
      <c r="D264" s="104"/>
      <c r="E264" s="22"/>
      <c r="F264" s="310"/>
      <c r="G264" s="690" t="s">
        <v>101</v>
      </c>
      <c r="H264" s="689"/>
      <c r="I264" s="698"/>
      <c r="J264" s="157"/>
      <c r="K264" s="157"/>
      <c r="L264" s="157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  <c r="AC264" s="115"/>
      <c r="AD264" s="115"/>
      <c r="AE264" s="115"/>
      <c r="AF264" s="115"/>
      <c r="AG264" s="115"/>
      <c r="AH264" s="115"/>
      <c r="AI264" s="115"/>
      <c r="AJ264" s="744"/>
    </row>
    <row r="265" spans="1:36" s="45" customFormat="1" ht="15" customHeight="1">
      <c r="A265" s="103"/>
      <c r="B265" s="43"/>
      <c r="C265" s="104">
        <v>1</v>
      </c>
      <c r="D265" s="104"/>
      <c r="E265" s="22" t="s">
        <v>199</v>
      </c>
      <c r="F265" s="272"/>
      <c r="G265" s="690"/>
      <c r="H265" s="689" t="s">
        <v>146</v>
      </c>
      <c r="I265" s="689"/>
      <c r="J265" s="315"/>
      <c r="K265" s="105">
        <v>5000000</v>
      </c>
      <c r="L265" s="105">
        <f>SUM(J265:K265)</f>
        <v>5000000</v>
      </c>
      <c r="M265" s="105"/>
      <c r="N265" s="105"/>
      <c r="O265" s="105"/>
      <c r="P265" s="105"/>
      <c r="Q265" s="105"/>
      <c r="R265" s="105"/>
      <c r="S265" s="105">
        <f t="shared" ref="S265:S268" si="270">SUM(M265:R265)</f>
        <v>0</v>
      </c>
      <c r="T265" s="105">
        <f t="shared" ref="T265:T268" si="271">S265+L265</f>
        <v>5000000</v>
      </c>
      <c r="U265" s="105"/>
      <c r="V265" s="105"/>
      <c r="W265" s="105"/>
      <c r="X265" s="105"/>
      <c r="Y265" s="105"/>
      <c r="Z265" s="105">
        <f>SUM(U265:Y265)</f>
        <v>0</v>
      </c>
      <c r="AA265" s="105">
        <f>Z265+T265</f>
        <v>5000000</v>
      </c>
      <c r="AB265" s="105"/>
      <c r="AC265" s="105"/>
      <c r="AD265" s="105"/>
      <c r="AE265" s="105"/>
      <c r="AF265" s="105"/>
      <c r="AG265" s="105">
        <f>SUM(AB265:AF265)</f>
        <v>0</v>
      </c>
      <c r="AH265" s="105">
        <f t="shared" ref="AH265:AH269" si="272">AG265+AA265</f>
        <v>5000000</v>
      </c>
      <c r="AI265" s="105">
        <v>29917227</v>
      </c>
      <c r="AJ265" s="732">
        <f>AI265/AH265*100</f>
        <v>598.34453999999994</v>
      </c>
    </row>
    <row r="266" spans="1:36" s="45" customFormat="1" ht="15" customHeight="1">
      <c r="A266" s="103"/>
      <c r="B266" s="43"/>
      <c r="C266" s="104">
        <v>2</v>
      </c>
      <c r="D266" s="104"/>
      <c r="E266" s="22" t="s">
        <v>199</v>
      </c>
      <c r="F266" s="272"/>
      <c r="G266" s="690"/>
      <c r="H266" s="689" t="s">
        <v>69</v>
      </c>
      <c r="I266" s="689"/>
      <c r="J266" s="315"/>
      <c r="K266" s="105">
        <v>193534798</v>
      </c>
      <c r="L266" s="105">
        <f>SUM(J266:K266)</f>
        <v>193534798</v>
      </c>
      <c r="M266" s="105"/>
      <c r="N266" s="105"/>
      <c r="O266" s="105"/>
      <c r="P266" s="105"/>
      <c r="Q266" s="105"/>
      <c r="R266" s="105"/>
      <c r="S266" s="105">
        <f t="shared" si="270"/>
        <v>0</v>
      </c>
      <c r="T266" s="105">
        <f t="shared" si="271"/>
        <v>193534798</v>
      </c>
      <c r="U266" s="105"/>
      <c r="V266" s="105"/>
      <c r="W266" s="105"/>
      <c r="X266" s="105"/>
      <c r="Y266" s="105"/>
      <c r="Z266" s="105">
        <f>SUM(U266:Y266)</f>
        <v>0</v>
      </c>
      <c r="AA266" s="105">
        <f>Z266+T266</f>
        <v>193534798</v>
      </c>
      <c r="AB266" s="105"/>
      <c r="AC266" s="105"/>
      <c r="AD266" s="105"/>
      <c r="AE266" s="105"/>
      <c r="AF266" s="105"/>
      <c r="AG266" s="105">
        <f>SUM(AB266:AF266)</f>
        <v>0</v>
      </c>
      <c r="AH266" s="105">
        <f t="shared" si="272"/>
        <v>193534798</v>
      </c>
      <c r="AI266" s="105">
        <v>90281486</v>
      </c>
      <c r="AJ266" s="732">
        <f>AI266/AH266*100</f>
        <v>46.648709654787766</v>
      </c>
    </row>
    <row r="267" spans="1:36" s="45" customFormat="1" ht="15" customHeight="1">
      <c r="A267" s="103"/>
      <c r="B267" s="43"/>
      <c r="C267" s="104">
        <v>3</v>
      </c>
      <c r="D267" s="104"/>
      <c r="E267" s="22" t="s">
        <v>199</v>
      </c>
      <c r="F267" s="272"/>
      <c r="G267" s="690"/>
      <c r="H267" s="689" t="s">
        <v>134</v>
      </c>
      <c r="I267" s="689"/>
      <c r="J267" s="105"/>
      <c r="K267" s="105">
        <v>2000000</v>
      </c>
      <c r="L267" s="105">
        <f>SUM(J267:K267)</f>
        <v>2000000</v>
      </c>
      <c r="M267" s="105"/>
      <c r="N267" s="105"/>
      <c r="O267" s="105"/>
      <c r="P267" s="105"/>
      <c r="Q267" s="105"/>
      <c r="R267" s="105"/>
      <c r="S267" s="105">
        <f t="shared" si="270"/>
        <v>0</v>
      </c>
      <c r="T267" s="105">
        <f t="shared" si="271"/>
        <v>2000000</v>
      </c>
      <c r="U267" s="105"/>
      <c r="V267" s="105"/>
      <c r="W267" s="105"/>
      <c r="X267" s="105"/>
      <c r="Y267" s="105"/>
      <c r="Z267" s="105">
        <f>SUM(U267:Y267)</f>
        <v>0</v>
      </c>
      <c r="AA267" s="105">
        <f>Z267+T267</f>
        <v>2000000</v>
      </c>
      <c r="AB267" s="105"/>
      <c r="AC267" s="105"/>
      <c r="AD267" s="105"/>
      <c r="AE267" s="105"/>
      <c r="AF267" s="105"/>
      <c r="AG267" s="105">
        <f>SUM(AB267:AF267)</f>
        <v>0</v>
      </c>
      <c r="AH267" s="105">
        <f t="shared" si="272"/>
        <v>2000000</v>
      </c>
      <c r="AI267" s="105">
        <v>5407806</v>
      </c>
      <c r="AJ267" s="732">
        <f>AI267/AH267*100</f>
        <v>270.39029999999997</v>
      </c>
    </row>
    <row r="268" spans="1:36" s="45" customFormat="1" ht="15" customHeight="1">
      <c r="A268" s="103"/>
      <c r="B268" s="43"/>
      <c r="C268" s="104">
        <v>4</v>
      </c>
      <c r="D268" s="104"/>
      <c r="E268" s="22" t="s">
        <v>199</v>
      </c>
      <c r="F268" s="689"/>
      <c r="G268" s="690"/>
      <c r="H268" s="689" t="s">
        <v>100</v>
      </c>
      <c r="I268" s="689"/>
      <c r="J268" s="105"/>
      <c r="K268" s="105">
        <v>12500000</v>
      </c>
      <c r="L268" s="105">
        <f>SUM(J268:K268)</f>
        <v>12500000</v>
      </c>
      <c r="M268" s="105"/>
      <c r="N268" s="105"/>
      <c r="O268" s="105"/>
      <c r="P268" s="105"/>
      <c r="Q268" s="105"/>
      <c r="R268" s="105"/>
      <c r="S268" s="105">
        <f t="shared" si="270"/>
        <v>0</v>
      </c>
      <c r="T268" s="105">
        <f t="shared" si="271"/>
        <v>12500000</v>
      </c>
      <c r="U268" s="105"/>
      <c r="V268" s="105"/>
      <c r="W268" s="105"/>
      <c r="X268" s="105"/>
      <c r="Y268" s="105"/>
      <c r="Z268" s="105">
        <f>SUM(U268:Y268)</f>
        <v>0</v>
      </c>
      <c r="AA268" s="105">
        <f>Z268+T268</f>
        <v>12500000</v>
      </c>
      <c r="AB268" s="105"/>
      <c r="AC268" s="105">
        <v>17178380</v>
      </c>
      <c r="AD268" s="105"/>
      <c r="AE268" s="105"/>
      <c r="AF268" s="105"/>
      <c r="AG268" s="105">
        <f>SUM(AB268:AF268)</f>
        <v>17178380</v>
      </c>
      <c r="AH268" s="105">
        <f t="shared" si="272"/>
        <v>29678380</v>
      </c>
      <c r="AI268" s="105">
        <v>45969059</v>
      </c>
      <c r="AJ268" s="732">
        <f>AI268/AH268*100</f>
        <v>154.89072853706975</v>
      </c>
    </row>
    <row r="269" spans="1:36" s="45" customFormat="1" ht="15" customHeight="1">
      <c r="A269" s="273"/>
      <c r="B269" s="43"/>
      <c r="C269" s="298">
        <v>5</v>
      </c>
      <c r="D269" s="298"/>
      <c r="E269" s="155" t="s">
        <v>199</v>
      </c>
      <c r="F269" s="689"/>
      <c r="G269" s="690"/>
      <c r="H269" s="689" t="s">
        <v>623</v>
      </c>
      <c r="I269" s="689"/>
      <c r="J269" s="156"/>
      <c r="K269" s="156"/>
      <c r="L269" s="156"/>
      <c r="M269" s="156"/>
      <c r="N269" s="156"/>
      <c r="O269" s="156"/>
      <c r="P269" s="156"/>
      <c r="Q269" s="156"/>
      <c r="R269" s="156"/>
      <c r="S269" s="105">
        <f t="shared" ref="S269" si="273">SUM(M269:R269)</f>
        <v>0</v>
      </c>
      <c r="T269" s="105">
        <f t="shared" ref="T269" si="274">S269+L269</f>
        <v>0</v>
      </c>
      <c r="U269" s="156"/>
      <c r="V269" s="156"/>
      <c r="W269" s="156"/>
      <c r="X269" s="156"/>
      <c r="Y269" s="156"/>
      <c r="Z269" s="105">
        <f>SUM(U269:Y269)</f>
        <v>0</v>
      </c>
      <c r="AA269" s="105">
        <f>Z269+T269</f>
        <v>0</v>
      </c>
      <c r="AB269" s="156"/>
      <c r="AC269" s="156"/>
      <c r="AD269" s="156"/>
      <c r="AE269" s="156"/>
      <c r="AF269" s="156"/>
      <c r="AG269" s="105">
        <f>SUM(AB269:AF269)</f>
        <v>0</v>
      </c>
      <c r="AH269" s="105">
        <f t="shared" si="272"/>
        <v>0</v>
      </c>
      <c r="AI269" s="105">
        <v>469024</v>
      </c>
      <c r="AJ269" s="732"/>
    </row>
    <row r="270" spans="1:36" s="45" customFormat="1" ht="15" customHeight="1">
      <c r="A270" s="103"/>
      <c r="B270" s="43"/>
      <c r="C270" s="104"/>
      <c r="D270" s="104"/>
      <c r="E270" s="22"/>
      <c r="F270" s="689"/>
      <c r="G270" s="690"/>
      <c r="H270" s="689"/>
      <c r="I270" s="684"/>
      <c r="J270" s="105"/>
      <c r="K270" s="105"/>
      <c r="L270" s="105"/>
      <c r="M270" s="105"/>
      <c r="N270" s="105"/>
      <c r="O270" s="105"/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  <c r="AH270" s="105"/>
      <c r="AI270" s="105"/>
      <c r="AJ270" s="732"/>
    </row>
    <row r="271" spans="1:36" s="45" customFormat="1" ht="14.25" customHeight="1">
      <c r="A271" s="103"/>
      <c r="B271" s="43"/>
      <c r="C271" s="104"/>
      <c r="D271" s="104"/>
      <c r="E271" s="22"/>
      <c r="F271" s="107"/>
      <c r="G271" s="30"/>
      <c r="H271" s="108"/>
      <c r="I271" s="109" t="s">
        <v>283</v>
      </c>
      <c r="J271" s="49"/>
      <c r="K271" s="49">
        <f>SUM(K265:K268)</f>
        <v>213034798</v>
      </c>
      <c r="L271" s="49">
        <f>SUM(L265:L268)</f>
        <v>213034798</v>
      </c>
      <c r="M271" s="49">
        <f t="shared" ref="M271:T271" si="275">SUM(M265:M268)</f>
        <v>0</v>
      </c>
      <c r="N271" s="49">
        <f t="shared" si="275"/>
        <v>0</v>
      </c>
      <c r="O271" s="49">
        <f t="shared" si="275"/>
        <v>0</v>
      </c>
      <c r="P271" s="49">
        <f t="shared" si="275"/>
        <v>0</v>
      </c>
      <c r="Q271" s="49">
        <f t="shared" si="275"/>
        <v>0</v>
      </c>
      <c r="R271" s="49">
        <f t="shared" si="275"/>
        <v>0</v>
      </c>
      <c r="S271" s="49">
        <f t="shared" si="275"/>
        <v>0</v>
      </c>
      <c r="T271" s="49">
        <f t="shared" si="275"/>
        <v>213034798</v>
      </c>
      <c r="U271" s="49"/>
      <c r="V271" s="49"/>
      <c r="W271" s="49"/>
      <c r="X271" s="49"/>
      <c r="Y271" s="49"/>
      <c r="Z271" s="49">
        <f t="shared" ref="Z271:AA271" si="276">SUM(Z265:Z268)</f>
        <v>0</v>
      </c>
      <c r="AA271" s="49">
        <f t="shared" si="276"/>
        <v>213034798</v>
      </c>
      <c r="AB271" s="49">
        <f t="shared" ref="AB271:AD271" si="277">SUM(AB265:AB268)</f>
        <v>0</v>
      </c>
      <c r="AC271" s="49">
        <f t="shared" si="277"/>
        <v>17178380</v>
      </c>
      <c r="AD271" s="49">
        <f t="shared" si="277"/>
        <v>0</v>
      </c>
      <c r="AE271" s="49">
        <f t="shared" ref="AE271" si="278">SUM(AE265:AE268)</f>
        <v>0</v>
      </c>
      <c r="AF271" s="49"/>
      <c r="AG271" s="49">
        <f t="shared" ref="AG271:AH271" si="279">SUM(AG265:AG268)</f>
        <v>17178380</v>
      </c>
      <c r="AH271" s="49">
        <f t="shared" si="279"/>
        <v>230213178</v>
      </c>
      <c r="AI271" s="49">
        <f>SUM(AI265:AI270)</f>
        <v>172044602</v>
      </c>
      <c r="AJ271" s="740">
        <f>AI271/AH271*100</f>
        <v>74.732734022723932</v>
      </c>
    </row>
    <row r="272" spans="1:36" s="45" customFormat="1" ht="14">
      <c r="A272" s="103"/>
      <c r="B272" s="43"/>
      <c r="C272" s="104"/>
      <c r="D272" s="104"/>
      <c r="E272" s="22"/>
      <c r="F272" s="19"/>
      <c r="G272" s="29"/>
      <c r="H272" s="18"/>
      <c r="I272" s="106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742"/>
    </row>
    <row r="273" spans="1:36" s="45" customFormat="1" ht="15.75" customHeight="1">
      <c r="A273" s="103"/>
      <c r="B273" s="43"/>
      <c r="C273" s="104"/>
      <c r="D273" s="104"/>
      <c r="E273" s="22"/>
      <c r="F273" s="20" t="s">
        <v>37</v>
      </c>
      <c r="G273" s="20"/>
      <c r="H273" s="4"/>
      <c r="I273" s="5"/>
      <c r="J273" s="101"/>
      <c r="K273" s="101">
        <f>SUM(K265:K271)/2</f>
        <v>213034798</v>
      </c>
      <c r="L273" s="101">
        <f>SUM(L265:L271)/2</f>
        <v>213034798</v>
      </c>
      <c r="M273" s="101">
        <f t="shared" ref="M273:T273" si="280">SUM(M265:M271)/2</f>
        <v>0</v>
      </c>
      <c r="N273" s="101">
        <f t="shared" si="280"/>
        <v>0</v>
      </c>
      <c r="O273" s="101">
        <f t="shared" si="280"/>
        <v>0</v>
      </c>
      <c r="P273" s="101">
        <f t="shared" si="280"/>
        <v>0</v>
      </c>
      <c r="Q273" s="101">
        <f t="shared" si="280"/>
        <v>0</v>
      </c>
      <c r="R273" s="101">
        <f t="shared" si="280"/>
        <v>0</v>
      </c>
      <c r="S273" s="101">
        <f t="shared" si="280"/>
        <v>0</v>
      </c>
      <c r="T273" s="101">
        <f t="shared" si="280"/>
        <v>213034798</v>
      </c>
      <c r="U273" s="101"/>
      <c r="V273" s="101"/>
      <c r="W273" s="101"/>
      <c r="X273" s="101"/>
      <c r="Y273" s="101"/>
      <c r="Z273" s="101">
        <f t="shared" ref="Z273:AA273" si="281">SUM(Z265:Z271)/2</f>
        <v>0</v>
      </c>
      <c r="AA273" s="101">
        <f t="shared" si="281"/>
        <v>213034798</v>
      </c>
      <c r="AB273" s="101">
        <f t="shared" ref="AB273:AD273" si="282">SUM(AB265:AB271)/2</f>
        <v>0</v>
      </c>
      <c r="AC273" s="101">
        <f t="shared" si="282"/>
        <v>17178380</v>
      </c>
      <c r="AD273" s="101">
        <f t="shared" si="282"/>
        <v>0</v>
      </c>
      <c r="AE273" s="101">
        <f t="shared" ref="AE273" si="283">SUM(AE265:AE271)/2</f>
        <v>0</v>
      </c>
      <c r="AF273" s="101"/>
      <c r="AG273" s="101">
        <f t="shared" ref="AG273:AH273" si="284">SUM(AG265:AG271)/2</f>
        <v>17178380</v>
      </c>
      <c r="AH273" s="101">
        <f t="shared" si="284"/>
        <v>230213178</v>
      </c>
      <c r="AI273" s="101">
        <f t="shared" ref="AI273" si="285">SUM(AI265:AI271)/2</f>
        <v>172044602</v>
      </c>
      <c r="AJ273" s="733">
        <f>AI273/AH273*100</f>
        <v>74.732734022723932</v>
      </c>
    </row>
    <row r="274" spans="1:36" s="45" customFormat="1" ht="14">
      <c r="A274" s="318"/>
      <c r="B274" s="318"/>
      <c r="C274" s="319"/>
      <c r="D274" s="319"/>
      <c r="E274" s="116"/>
      <c r="F274" s="6"/>
      <c r="G274" s="6"/>
      <c r="H274" s="7"/>
      <c r="I274" s="8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734"/>
    </row>
    <row r="275" spans="1:36" s="45" customFormat="1" ht="15.75" customHeight="1">
      <c r="A275" s="695"/>
      <c r="B275" s="696"/>
      <c r="C275" s="301"/>
      <c r="D275" s="301"/>
      <c r="E275" s="301"/>
      <c r="F275" s="877" t="s">
        <v>251</v>
      </c>
      <c r="G275" s="877"/>
      <c r="H275" s="877"/>
      <c r="I275" s="878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/>
      <c r="X275" s="51"/>
      <c r="Y275" s="51"/>
      <c r="Z275" s="51"/>
      <c r="AA275" s="51"/>
      <c r="AB275" s="51"/>
      <c r="AC275" s="51"/>
      <c r="AD275" s="51"/>
      <c r="AE275" s="51"/>
      <c r="AF275" s="51"/>
      <c r="AG275" s="51"/>
      <c r="AH275" s="51"/>
      <c r="AI275" s="51"/>
      <c r="AJ275" s="737"/>
    </row>
    <row r="276" spans="1:36" s="45" customFormat="1" ht="14">
      <c r="A276" s="103"/>
      <c r="B276" s="43"/>
      <c r="C276" s="300"/>
      <c r="D276" s="104"/>
      <c r="E276" s="22"/>
      <c r="F276" s="6"/>
      <c r="G276" s="6"/>
      <c r="H276" s="7"/>
      <c r="I276" s="8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734"/>
    </row>
    <row r="277" spans="1:36" s="45" customFormat="1" ht="15.75" customHeight="1">
      <c r="A277" s="695"/>
      <c r="B277" s="696"/>
      <c r="C277" s="301"/>
      <c r="D277" s="301"/>
      <c r="E277" s="301"/>
      <c r="F277" s="877" t="s">
        <v>200</v>
      </c>
      <c r="G277" s="877"/>
      <c r="H277" s="877"/>
      <c r="I277" s="878"/>
      <c r="J277" s="51">
        <f>J271+J249+J242+J230+J226+J222+J220+J219+J218+J217+J203+J201+J187+J176+J174+J165+J155+J149</f>
        <v>2173133909</v>
      </c>
      <c r="K277" s="51">
        <f>K271+K249+K242+K230+K226+K222+K220+K219+K218+K217+K203+K201+K187+K176+K174+K165+K155+K149</f>
        <v>213034798</v>
      </c>
      <c r="L277" s="51">
        <f>L271+L249+L242+L230+L226+L222+L220+L219+L218+L217+L203+L201+L187+L176+L174+L165+L155+L149</f>
        <v>2386168707</v>
      </c>
      <c r="M277" s="51">
        <f>M271+M249+M242+M230+M226+M222+M220+M219+M218+M217+M203+M201+M187+M176+M174+M165+M155+M149</f>
        <v>0</v>
      </c>
      <c r="N277" s="51">
        <f t="shared" ref="N277:T277" si="286">N249+N242+N230+N226+N222+N220+N219+N218+N217+N203+N201+N187+N176+N174+N165+N155+N149+N257+N255+N253+N177+N211+N271</f>
        <v>0</v>
      </c>
      <c r="O277" s="51">
        <f t="shared" si="286"/>
        <v>149930314</v>
      </c>
      <c r="P277" s="51">
        <f t="shared" si="286"/>
        <v>0</v>
      </c>
      <c r="Q277" s="51">
        <f t="shared" si="286"/>
        <v>0</v>
      </c>
      <c r="R277" s="51">
        <f t="shared" si="286"/>
        <v>0</v>
      </c>
      <c r="S277" s="51">
        <f t="shared" si="286"/>
        <v>149930314</v>
      </c>
      <c r="T277" s="51">
        <f t="shared" si="286"/>
        <v>2536099021</v>
      </c>
      <c r="U277" s="51"/>
      <c r="V277" s="51"/>
      <c r="W277" s="51"/>
      <c r="X277" s="51"/>
      <c r="Y277" s="51"/>
      <c r="Z277" s="51">
        <f t="shared" ref="Z277:AA277" si="287">Z249+Z242+Z230+Z226+Z222+Z220+Z219+Z218+Z217+Z203+Z201+Z187+Z176+Z174+Z165+Z155+Z149+Z257+Z255+Z253+Z177+Z211+Z271</f>
        <v>0</v>
      </c>
      <c r="AA277" s="51">
        <f t="shared" si="287"/>
        <v>2536099021</v>
      </c>
      <c r="AB277" s="51">
        <f t="shared" ref="AB277:AD277" si="288">AB249+AB242+AB230+AB226+AB222+AB220+AB219+AB218+AB217+AB203+AB201+AB187+AB176+AB174+AB165+AB155+AB149+AB257+AB255+AB253+AB177+AB211+AB271</f>
        <v>0</v>
      </c>
      <c r="AC277" s="51">
        <f t="shared" si="288"/>
        <v>-25993543</v>
      </c>
      <c r="AD277" s="51">
        <f t="shared" si="288"/>
        <v>0</v>
      </c>
      <c r="AE277" s="51">
        <f t="shared" ref="AE277:AF277" si="289">AE249+AE242+AE230+AE226+AE222+AE220+AE219+AE218+AE217+AE203+AE201+AE187+AE176+AE174+AE165+AE155+AE149+AE257+AE255+AE253+AE177+AE211+AE271</f>
        <v>2749177</v>
      </c>
      <c r="AF277" s="51">
        <f t="shared" si="289"/>
        <v>0</v>
      </c>
      <c r="AG277" s="51">
        <f t="shared" ref="AG277:AH277" si="290">AG249+AG242+AG230+AG226+AG222+AG220+AG219+AG218+AG217+AG203+AG201+AG187+AG176+AG174+AG165+AG155+AG149+AG257+AG255+AG253+AG177+AG211+AG271+AG178</f>
        <v>-23244366</v>
      </c>
      <c r="AH277" s="51">
        <f t="shared" si="290"/>
        <v>2512854655</v>
      </c>
      <c r="AI277" s="51">
        <f>AI249+AI242+AI230+AI226+AI222+AI220+AI219+AI218+AI217+AI203+AI201+AI187+AI176+AI174+AI165+AI155+AI149+AI257+AI255+AI253+AI177+AI211+AI271+AI178</f>
        <v>2525951572</v>
      </c>
      <c r="AJ277" s="737">
        <f>AI277/AH277*100</f>
        <v>100.52119675819451</v>
      </c>
    </row>
    <row r="278" spans="1:36" s="45" customFormat="1" ht="14">
      <c r="A278" s="103"/>
      <c r="B278" s="103"/>
      <c r="C278" s="104"/>
      <c r="D278" s="104"/>
      <c r="E278" s="22"/>
      <c r="F278" s="6"/>
      <c r="G278" s="6"/>
      <c r="H278" s="7"/>
      <c r="I278" s="8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734"/>
    </row>
    <row r="279" spans="1:36" s="45" customFormat="1" ht="15.75" customHeight="1">
      <c r="A279" s="695"/>
      <c r="B279" s="696"/>
      <c r="C279" s="301"/>
      <c r="D279" s="301"/>
      <c r="E279" s="301"/>
      <c r="F279" s="877" t="s">
        <v>201</v>
      </c>
      <c r="G279" s="877"/>
      <c r="H279" s="877"/>
      <c r="I279" s="878" t="s">
        <v>197</v>
      </c>
      <c r="J279" s="51">
        <f>J259+J232+J231+J229+J228+J227+J225+J224+J223+J221+J216+J210+J204+J202+J195+J173+J160+J150+J144+J143+J175</f>
        <v>3746696974</v>
      </c>
      <c r="K279" s="51">
        <f>K259+K232+K231+K229+K228+K227+K225+K224+K223+K221+K216+K210+K204+K202+K195+K173+K160+K150+K144+K143+K175</f>
        <v>0</v>
      </c>
      <c r="L279" s="51">
        <f>L259+L232+L231+L229+L228+L227+L225+L224+L223+L221+L216+L210+L204+L202+L195+L173+L160+L150+L144+L143+L175</f>
        <v>3746696974</v>
      </c>
      <c r="M279" s="51">
        <f>M259+M232+M231+M229+M228+M227+M225+M224+M223+M221+M216+M210+M204+M202+M195+M173+M160+M150+M144+M143+M175</f>
        <v>0</v>
      </c>
      <c r="N279" s="51">
        <f t="shared" ref="N279:T279" si="291">+N232+N231+N229+N228+N227+N225+N224+N223+N221+N216+N210+N204+N202+N195+N173+N160+N150+N144+N143+N175+N254+N256+N252+N205</f>
        <v>0</v>
      </c>
      <c r="O279" s="51">
        <f t="shared" si="291"/>
        <v>0</v>
      </c>
      <c r="P279" s="51">
        <f t="shared" si="291"/>
        <v>0</v>
      </c>
      <c r="Q279" s="51">
        <f t="shared" si="291"/>
        <v>0</v>
      </c>
      <c r="R279" s="51">
        <f t="shared" si="291"/>
        <v>0</v>
      </c>
      <c r="S279" s="51">
        <f t="shared" si="291"/>
        <v>0</v>
      </c>
      <c r="T279" s="51">
        <f t="shared" si="291"/>
        <v>3746696974</v>
      </c>
      <c r="U279" s="51"/>
      <c r="V279" s="51"/>
      <c r="W279" s="51"/>
      <c r="X279" s="51"/>
      <c r="Y279" s="51"/>
      <c r="Z279" s="51">
        <f t="shared" ref="Z279:AA279" si="292">+Z232+Z231+Z229+Z228+Z227+Z225+Z224+Z223+Z221+Z216+Z210+Z204+Z202+Z195+Z173+Z160+Z150+Z144+Z143+Z175+Z254+Z256+Z252+Z205</f>
        <v>0</v>
      </c>
      <c r="AA279" s="51">
        <f t="shared" si="292"/>
        <v>3746696974</v>
      </c>
      <c r="AB279" s="51">
        <f t="shared" ref="AB279:AD279" si="293">+AB232+AB231+AB229+AB228+AB227+AB225+AB224+AB223+AB221+AB216+AB210+AB204+AB202+AB195+AB173+AB160+AB150+AB144+AB143+AB175+AB254+AB256+AB252+AB205</f>
        <v>0</v>
      </c>
      <c r="AC279" s="51">
        <f t="shared" si="293"/>
        <v>31505394</v>
      </c>
      <c r="AD279" s="51">
        <f t="shared" si="293"/>
        <v>0</v>
      </c>
      <c r="AE279" s="51">
        <f t="shared" ref="AE279:AF279" si="294">+AE232+AE231+AE229+AE228+AE227+AE225+AE224+AE223+AE221+AE216+AE210+AE204+AE202+AE195+AE173+AE160+AE150+AE144+AE143+AE175+AE254+AE256+AE252+AE205</f>
        <v>0</v>
      </c>
      <c r="AF279" s="51">
        <f t="shared" si="294"/>
        <v>0</v>
      </c>
      <c r="AG279" s="51">
        <f t="shared" ref="AG279:AH279" si="295">+AG232+AG231+AG229+AG228+AG227+AG225+AG224+AG223+AG221+AG216+AG210+AG204+AG202+AG195+AG173+AG160+AG150+AG144+AG143+AG175+AG254+AG256+AG252+AG205+AG233+AG196</f>
        <v>31505394</v>
      </c>
      <c r="AH279" s="51">
        <f t="shared" si="295"/>
        <v>3778202368</v>
      </c>
      <c r="AI279" s="51">
        <f>+AI232+AI231+AI229+AI228+AI227+AI225+AI224+AI223+AI221+AI216+AI210+AI204+AI202+AI195+AI173+AI160+AI150+AI144+AI143+AI175+AI254+AI256+AI252+AI205+AI233+AI196</f>
        <v>3998315352</v>
      </c>
      <c r="AJ279" s="737">
        <f>AI279/AH279*100</f>
        <v>105.82586538678491</v>
      </c>
    </row>
    <row r="280" spans="1:36" s="45" customFormat="1" ht="14.5" thickBot="1">
      <c r="A280" s="103"/>
      <c r="B280" s="103"/>
      <c r="C280" s="104"/>
      <c r="D280" s="104"/>
      <c r="E280" s="22"/>
      <c r="F280" s="24"/>
      <c r="G280" s="25"/>
      <c r="H280" s="25"/>
      <c r="I280" s="25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734"/>
    </row>
    <row r="281" spans="1:36" s="45" customFormat="1" ht="17.25" customHeight="1" thickBot="1">
      <c r="A281" s="320"/>
      <c r="B281" s="321"/>
      <c r="C281" s="322"/>
      <c r="D281" s="322"/>
      <c r="E281" s="322"/>
      <c r="F281" s="913" t="s">
        <v>294</v>
      </c>
      <c r="G281" s="913"/>
      <c r="H281" s="913"/>
      <c r="I281" s="914"/>
      <c r="J281" s="117">
        <f>J273+J261+J191</f>
        <v>5919830883</v>
      </c>
      <c r="K281" s="117">
        <f>K273+K261+K191</f>
        <v>213034798</v>
      </c>
      <c r="L281" s="117">
        <f>L273+L261+L191</f>
        <v>6132865681</v>
      </c>
      <c r="M281" s="117">
        <f>M273+M261+M191</f>
        <v>0</v>
      </c>
      <c r="N281" s="117">
        <f t="shared" ref="N281:T281" si="296">N273+N261+N191</f>
        <v>0</v>
      </c>
      <c r="O281" s="117">
        <f t="shared" si="296"/>
        <v>149930314</v>
      </c>
      <c r="P281" s="117">
        <f t="shared" si="296"/>
        <v>0</v>
      </c>
      <c r="Q281" s="117">
        <f t="shared" si="296"/>
        <v>0</v>
      </c>
      <c r="R281" s="117">
        <f t="shared" si="296"/>
        <v>0</v>
      </c>
      <c r="S281" s="117">
        <f t="shared" si="296"/>
        <v>149930314</v>
      </c>
      <c r="T281" s="117">
        <f t="shared" si="296"/>
        <v>6282795995</v>
      </c>
      <c r="U281" s="117"/>
      <c r="V281" s="117"/>
      <c r="W281" s="117"/>
      <c r="X281" s="117"/>
      <c r="Y281" s="117"/>
      <c r="Z281" s="117">
        <f t="shared" ref="Z281:AA281" si="297">Z273+Z261+Z191</f>
        <v>0</v>
      </c>
      <c r="AA281" s="117">
        <f t="shared" si="297"/>
        <v>6282795995</v>
      </c>
      <c r="AB281" s="117">
        <f t="shared" ref="AB281:AD281" si="298">AB273+AB261+AB191</f>
        <v>0</v>
      </c>
      <c r="AC281" s="117">
        <f t="shared" si="298"/>
        <v>5511851</v>
      </c>
      <c r="AD281" s="117">
        <f t="shared" si="298"/>
        <v>0</v>
      </c>
      <c r="AE281" s="117">
        <f t="shared" ref="AE281:AF281" si="299">AE273+AE261+AE191</f>
        <v>2749177</v>
      </c>
      <c r="AF281" s="117">
        <f t="shared" si="299"/>
        <v>0</v>
      </c>
      <c r="AG281" s="117">
        <f t="shared" ref="AG281:AI281" si="300">AG273+AG261+AG191</f>
        <v>8261028</v>
      </c>
      <c r="AH281" s="117">
        <f t="shared" si="300"/>
        <v>6291057023</v>
      </c>
      <c r="AI281" s="117">
        <f t="shared" si="300"/>
        <v>6524266924</v>
      </c>
      <c r="AJ281" s="745">
        <f>AI281/AH281*100</f>
        <v>103.70700663095865</v>
      </c>
    </row>
    <row r="282" spans="1:36" s="45" customFormat="1" ht="19.5" customHeight="1">
      <c r="A282" s="103"/>
      <c r="B282" s="323"/>
      <c r="C282" s="118"/>
      <c r="D282" s="22"/>
      <c r="E282" s="22"/>
      <c r="F282" s="694"/>
      <c r="G282" s="690"/>
      <c r="H282" s="689"/>
      <c r="I282" s="293"/>
      <c r="J282" s="105"/>
      <c r="K282" s="105"/>
      <c r="L282" s="105"/>
      <c r="M282" s="105"/>
      <c r="N282" s="105"/>
      <c r="O282" s="105"/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732"/>
    </row>
    <row r="283" spans="1:36" s="45" customFormat="1" ht="17.5">
      <c r="A283" s="103"/>
      <c r="B283" s="323"/>
      <c r="C283" s="118"/>
      <c r="D283" s="324"/>
      <c r="E283" s="22"/>
      <c r="F283" s="325" t="s">
        <v>217</v>
      </c>
      <c r="G283" s="6"/>
      <c r="H283" s="7"/>
      <c r="I283" s="326"/>
      <c r="J283" s="105"/>
      <c r="K283" s="105"/>
      <c r="L283" s="105"/>
      <c r="M283" s="105"/>
      <c r="N283" s="105"/>
      <c r="O283" s="105"/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732"/>
    </row>
    <row r="284" spans="1:36" s="45" customFormat="1" ht="16.5" customHeight="1">
      <c r="A284" s="103"/>
      <c r="B284" s="323"/>
      <c r="C284" s="118"/>
      <c r="D284" s="324"/>
      <c r="E284" s="22"/>
      <c r="F284" s="689"/>
      <c r="G284" s="690"/>
      <c r="H284" s="689"/>
      <c r="I284" s="293"/>
      <c r="J284" s="105"/>
      <c r="K284" s="105"/>
      <c r="L284" s="105"/>
      <c r="M284" s="105"/>
      <c r="N284" s="105"/>
      <c r="O284" s="105"/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  <c r="AH284" s="105"/>
      <c r="AI284" s="105"/>
      <c r="AJ284" s="732"/>
    </row>
    <row r="285" spans="1:36" s="329" customFormat="1" ht="16.5" customHeight="1">
      <c r="A285" s="271">
        <v>1</v>
      </c>
      <c r="B285" s="323"/>
      <c r="C285" s="323"/>
      <c r="D285" s="327">
        <v>1</v>
      </c>
      <c r="E285" s="271"/>
      <c r="F285" s="9" t="s">
        <v>345</v>
      </c>
      <c r="G285" s="9"/>
      <c r="H285" s="9"/>
      <c r="I285" s="328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741"/>
    </row>
    <row r="286" spans="1:36" s="45" customFormat="1" ht="16.5" customHeight="1">
      <c r="A286" s="103"/>
      <c r="B286" s="323">
        <v>1</v>
      </c>
      <c r="C286" s="118"/>
      <c r="D286" s="324"/>
      <c r="E286" s="22"/>
      <c r="F286" s="689"/>
      <c r="G286" s="923" t="s">
        <v>328</v>
      </c>
      <c r="H286" s="867"/>
      <c r="I286" s="868"/>
      <c r="J286" s="46"/>
      <c r="K286" s="46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732"/>
    </row>
    <row r="287" spans="1:36" s="45" customFormat="1" ht="16.5" customHeight="1">
      <c r="A287" s="103"/>
      <c r="B287" s="323"/>
      <c r="C287" s="118">
        <v>1</v>
      </c>
      <c r="D287" s="324"/>
      <c r="E287" s="22" t="s">
        <v>250</v>
      </c>
      <c r="F287" s="689"/>
      <c r="G287" s="693"/>
      <c r="H287" s="45" t="s">
        <v>218</v>
      </c>
      <c r="I287" s="330"/>
      <c r="J287" s="105">
        <v>41634965</v>
      </c>
      <c r="K287" s="46"/>
      <c r="L287" s="105">
        <f>SUM(J287:K287)</f>
        <v>41634965</v>
      </c>
      <c r="M287" s="105"/>
      <c r="N287" s="105"/>
      <c r="O287" s="105"/>
      <c r="P287" s="105"/>
      <c r="Q287" s="105"/>
      <c r="R287" s="105"/>
      <c r="S287" s="105">
        <f t="shared" ref="S287:S288" si="301">SUM(M287:R287)</f>
        <v>0</v>
      </c>
      <c r="T287" s="105">
        <f t="shared" ref="T287:T288" si="302">S287+L287</f>
        <v>41634965</v>
      </c>
      <c r="U287" s="105"/>
      <c r="V287" s="105"/>
      <c r="W287" s="105"/>
      <c r="X287" s="105"/>
      <c r="Y287" s="105"/>
      <c r="Z287" s="105">
        <f>SUM(U287:Y287)</f>
        <v>0</v>
      </c>
      <c r="AA287" s="105">
        <f>Z287+T287</f>
        <v>41634965</v>
      </c>
      <c r="AB287" s="105"/>
      <c r="AC287" s="105"/>
      <c r="AD287" s="105"/>
      <c r="AE287" s="105"/>
      <c r="AF287" s="105"/>
      <c r="AG287" s="105">
        <f>SUM(AB287:AF287)</f>
        <v>0</v>
      </c>
      <c r="AH287" s="105">
        <f t="shared" ref="AH287:AH289" si="303">AG287+AA287</f>
        <v>41634965</v>
      </c>
      <c r="AI287" s="105">
        <v>41634965</v>
      </c>
      <c r="AJ287" s="732">
        <f>AI287/AH287*100</f>
        <v>100</v>
      </c>
    </row>
    <row r="288" spans="1:36" s="45" customFormat="1" ht="16.5" customHeight="1">
      <c r="A288" s="103"/>
      <c r="B288" s="323"/>
      <c r="C288" s="118">
        <v>1</v>
      </c>
      <c r="D288" s="324"/>
      <c r="E288" s="22" t="s">
        <v>199</v>
      </c>
      <c r="F288" s="689"/>
      <c r="G288" s="690"/>
      <c r="H288" s="45" t="s">
        <v>218</v>
      </c>
      <c r="J288" s="105">
        <v>257387590</v>
      </c>
      <c r="K288" s="105"/>
      <c r="L288" s="105">
        <f>SUM(J288:K288)</f>
        <v>257387590</v>
      </c>
      <c r="M288" s="105"/>
      <c r="N288" s="105"/>
      <c r="O288" s="105"/>
      <c r="P288" s="105"/>
      <c r="Q288" s="105"/>
      <c r="R288" s="105"/>
      <c r="S288" s="105">
        <f t="shared" si="301"/>
        <v>0</v>
      </c>
      <c r="T288" s="105">
        <f t="shared" si="302"/>
        <v>257387590</v>
      </c>
      <c r="U288" s="105"/>
      <c r="V288" s="105"/>
      <c r="W288" s="105"/>
      <c r="X288" s="105"/>
      <c r="Y288" s="105"/>
      <c r="Z288" s="105">
        <f>SUM(U288:Y288)</f>
        <v>0</v>
      </c>
      <c r="AA288" s="105">
        <f>Z288+T288</f>
        <v>257387590</v>
      </c>
      <c r="AB288" s="105"/>
      <c r="AC288" s="105"/>
      <c r="AD288" s="105"/>
      <c r="AE288" s="105"/>
      <c r="AF288" s="105"/>
      <c r="AG288" s="105">
        <f>SUM(AB288:AF288)</f>
        <v>0</v>
      </c>
      <c r="AH288" s="105">
        <f t="shared" si="303"/>
        <v>257387590</v>
      </c>
      <c r="AI288" s="105">
        <v>257387590</v>
      </c>
      <c r="AJ288" s="732">
        <f>AI288/AH288*100</f>
        <v>100</v>
      </c>
    </row>
    <row r="289" spans="1:36" s="45" customFormat="1" ht="16.5" customHeight="1">
      <c r="A289" s="273"/>
      <c r="B289" s="323"/>
      <c r="C289" s="118">
        <v>2</v>
      </c>
      <c r="D289" s="331"/>
      <c r="E289" s="155" t="s">
        <v>199</v>
      </c>
      <c r="F289" s="689"/>
      <c r="G289" s="690"/>
      <c r="H289" s="45" t="s">
        <v>624</v>
      </c>
      <c r="J289" s="156"/>
      <c r="K289" s="156"/>
      <c r="L289" s="156"/>
      <c r="M289" s="156"/>
      <c r="N289" s="156">
        <v>2827719</v>
      </c>
      <c r="O289" s="156"/>
      <c r="P289" s="156"/>
      <c r="Q289" s="156"/>
      <c r="R289" s="156"/>
      <c r="S289" s="105">
        <f t="shared" ref="S289" si="304">SUM(M289:R289)</f>
        <v>2827719</v>
      </c>
      <c r="T289" s="105">
        <f t="shared" ref="T289" si="305">S289+L289</f>
        <v>2827719</v>
      </c>
      <c r="U289" s="156"/>
      <c r="V289" s="156"/>
      <c r="W289" s="156"/>
      <c r="X289" s="156"/>
      <c r="Y289" s="156"/>
      <c r="Z289" s="105">
        <f>SUM(U289:Y289)</f>
        <v>0</v>
      </c>
      <c r="AA289" s="105">
        <f>Z289+T289</f>
        <v>2827719</v>
      </c>
      <c r="AB289" s="156"/>
      <c r="AC289" s="156"/>
      <c r="AD289" s="156"/>
      <c r="AE289" s="156"/>
      <c r="AF289" s="156"/>
      <c r="AG289" s="105">
        <f>SUM(AB289:AF289)</f>
        <v>0</v>
      </c>
      <c r="AH289" s="105">
        <f t="shared" si="303"/>
        <v>2827719</v>
      </c>
      <c r="AI289" s="105">
        <v>2827719</v>
      </c>
      <c r="AJ289" s="732">
        <f>AI289/AH289*100</f>
        <v>100</v>
      </c>
    </row>
    <row r="290" spans="1:36" s="45" customFormat="1" ht="16.5" customHeight="1">
      <c r="A290" s="103"/>
      <c r="B290" s="323"/>
      <c r="C290" s="118"/>
      <c r="D290" s="324"/>
      <c r="E290" s="22"/>
      <c r="F290" s="689"/>
      <c r="G290" s="690"/>
      <c r="J290" s="105"/>
      <c r="K290" s="46"/>
      <c r="L290" s="105"/>
      <c r="M290" s="105"/>
      <c r="N290" s="105"/>
      <c r="O290" s="105"/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732"/>
    </row>
    <row r="291" spans="1:36" s="45" customFormat="1" ht="16.5" customHeight="1">
      <c r="A291" s="103"/>
      <c r="B291" s="323"/>
      <c r="C291" s="118"/>
      <c r="D291" s="324"/>
      <c r="E291" s="22"/>
      <c r="F291" s="20" t="s">
        <v>37</v>
      </c>
      <c r="G291" s="20"/>
      <c r="H291" s="4"/>
      <c r="I291" s="5"/>
      <c r="J291" s="101">
        <f>SUM(J287:J288)</f>
        <v>299022555</v>
      </c>
      <c r="K291" s="101"/>
      <c r="L291" s="101">
        <f>SUM(L287:L290)</f>
        <v>299022555</v>
      </c>
      <c r="M291" s="101">
        <f t="shared" ref="M291:T291" si="306">SUM(M287:M290)</f>
        <v>0</v>
      </c>
      <c r="N291" s="101">
        <f t="shared" si="306"/>
        <v>2827719</v>
      </c>
      <c r="O291" s="101">
        <f t="shared" si="306"/>
        <v>0</v>
      </c>
      <c r="P291" s="101">
        <f t="shared" si="306"/>
        <v>0</v>
      </c>
      <c r="Q291" s="101">
        <f t="shared" si="306"/>
        <v>0</v>
      </c>
      <c r="R291" s="101">
        <f t="shared" si="306"/>
        <v>0</v>
      </c>
      <c r="S291" s="101">
        <f t="shared" si="306"/>
        <v>2827719</v>
      </c>
      <c r="T291" s="101">
        <f t="shared" si="306"/>
        <v>301850274</v>
      </c>
      <c r="U291" s="101"/>
      <c r="V291" s="101"/>
      <c r="W291" s="101"/>
      <c r="X291" s="101"/>
      <c r="Y291" s="101"/>
      <c r="Z291" s="101">
        <f t="shared" ref="Z291:AA291" si="307">SUM(Z287:Z290)</f>
        <v>0</v>
      </c>
      <c r="AA291" s="101">
        <f t="shared" si="307"/>
        <v>301850274</v>
      </c>
      <c r="AB291" s="101"/>
      <c r="AC291" s="101"/>
      <c r="AD291" s="101"/>
      <c r="AE291" s="101"/>
      <c r="AF291" s="101"/>
      <c r="AG291" s="101">
        <f t="shared" ref="AG291:AI291" si="308">SUM(AG287:AG290)</f>
        <v>0</v>
      </c>
      <c r="AH291" s="101">
        <f t="shared" si="308"/>
        <v>301850274</v>
      </c>
      <c r="AI291" s="101">
        <f t="shared" si="308"/>
        <v>301850274</v>
      </c>
      <c r="AJ291" s="733">
        <f>AI291/AH291*100</f>
        <v>100</v>
      </c>
    </row>
    <row r="292" spans="1:36" s="45" customFormat="1" ht="16.5" customHeight="1">
      <c r="A292" s="103"/>
      <c r="B292" s="323"/>
      <c r="C292" s="118"/>
      <c r="D292" s="324"/>
      <c r="E292" s="22"/>
      <c r="F292" s="689"/>
      <c r="G292" s="690"/>
      <c r="H292" s="689"/>
      <c r="I292" s="687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734"/>
    </row>
    <row r="293" spans="1:36" s="693" customFormat="1" ht="33" customHeight="1">
      <c r="A293" s="103">
        <v>2</v>
      </c>
      <c r="B293" s="323"/>
      <c r="C293" s="323"/>
      <c r="D293" s="327">
        <v>1</v>
      </c>
      <c r="E293" s="271"/>
      <c r="F293" s="863" t="s">
        <v>269</v>
      </c>
      <c r="G293" s="906"/>
      <c r="H293" s="906"/>
      <c r="I293" s="907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734"/>
    </row>
    <row r="294" spans="1:36" s="45" customFormat="1" ht="33" customHeight="1">
      <c r="A294" s="103"/>
      <c r="B294" s="323">
        <v>1</v>
      </c>
      <c r="C294" s="118"/>
      <c r="D294" s="324"/>
      <c r="E294" s="22"/>
      <c r="F294" s="687"/>
      <c r="G294" s="915" t="s">
        <v>219</v>
      </c>
      <c r="H294" s="911"/>
      <c r="I294" s="912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734"/>
    </row>
    <row r="295" spans="1:36" s="45" customFormat="1" ht="28.5" customHeight="1">
      <c r="A295" s="103"/>
      <c r="B295" s="323"/>
      <c r="C295" s="118">
        <v>1</v>
      </c>
      <c r="D295" s="324"/>
      <c r="E295" s="22" t="s">
        <v>199</v>
      </c>
      <c r="F295" s="690"/>
      <c r="G295" s="686"/>
      <c r="H295" s="858" t="s">
        <v>220</v>
      </c>
      <c r="I295" s="859"/>
      <c r="J295" s="105">
        <v>866995800</v>
      </c>
      <c r="K295" s="105"/>
      <c r="L295" s="105">
        <f>SUM(J295:K295)</f>
        <v>866995800</v>
      </c>
      <c r="M295" s="105"/>
      <c r="N295" s="105"/>
      <c r="O295" s="105"/>
      <c r="P295" s="105"/>
      <c r="Q295" s="105"/>
      <c r="R295" s="105"/>
      <c r="S295" s="105">
        <f t="shared" ref="S295" si="309">SUM(M295:R295)</f>
        <v>0</v>
      </c>
      <c r="T295" s="105">
        <f t="shared" ref="T295" si="310">S295+L295</f>
        <v>866995800</v>
      </c>
      <c r="U295" s="105"/>
      <c r="V295" s="105"/>
      <c r="W295" s="105"/>
      <c r="X295" s="105"/>
      <c r="Y295" s="105"/>
      <c r="Z295" s="105">
        <f>SUM(U295:Y295)</f>
        <v>0</v>
      </c>
      <c r="AA295" s="105">
        <f>Z295+T295</f>
        <v>866995800</v>
      </c>
      <c r="AB295" s="105"/>
      <c r="AC295" s="105"/>
      <c r="AD295" s="105"/>
      <c r="AE295" s="105"/>
      <c r="AF295" s="105"/>
      <c r="AG295" s="105">
        <f>SUM(AB295:AF295)</f>
        <v>0</v>
      </c>
      <c r="AH295" s="105">
        <f t="shared" ref="AH295" si="311">AG295+AA295</f>
        <v>866995800</v>
      </c>
      <c r="AI295" s="105">
        <v>866995800</v>
      </c>
      <c r="AJ295" s="732">
        <f>AI295/AH295*100</f>
        <v>100</v>
      </c>
    </row>
    <row r="296" spans="1:36" s="45" customFormat="1" ht="14">
      <c r="A296" s="103"/>
      <c r="B296" s="323"/>
      <c r="C296" s="118"/>
      <c r="D296" s="324"/>
      <c r="E296" s="22"/>
      <c r="F296" s="690"/>
      <c r="G296" s="686"/>
      <c r="H296" s="308"/>
      <c r="I296" s="332"/>
      <c r="J296" s="105"/>
      <c r="K296" s="105"/>
      <c r="L296" s="105"/>
      <c r="M296" s="105"/>
      <c r="N296" s="105"/>
      <c r="O296" s="105"/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5"/>
      <c r="AD296" s="105"/>
      <c r="AE296" s="105"/>
      <c r="AF296" s="105"/>
      <c r="AG296" s="105"/>
      <c r="AH296" s="105"/>
      <c r="AI296" s="105"/>
      <c r="AJ296" s="732"/>
    </row>
    <row r="297" spans="1:36" s="45" customFormat="1" ht="12.75" customHeight="1">
      <c r="A297" s="103"/>
      <c r="B297" s="323"/>
      <c r="C297" s="118"/>
      <c r="D297" s="324"/>
      <c r="E297" s="22"/>
      <c r="F297" s="860" t="s">
        <v>38</v>
      </c>
      <c r="G297" s="861"/>
      <c r="H297" s="861"/>
      <c r="I297" s="862"/>
      <c r="J297" s="333">
        <f>SUM(J294:J295)</f>
        <v>866995800</v>
      </c>
      <c r="K297" s="333"/>
      <c r="L297" s="333">
        <f>SUM(L295:L296)</f>
        <v>866995800</v>
      </c>
      <c r="M297" s="333">
        <f t="shared" ref="M297:T297" si="312">SUM(M295:M296)</f>
        <v>0</v>
      </c>
      <c r="N297" s="333">
        <f t="shared" si="312"/>
        <v>0</v>
      </c>
      <c r="O297" s="333">
        <f t="shared" si="312"/>
        <v>0</v>
      </c>
      <c r="P297" s="333">
        <f t="shared" si="312"/>
        <v>0</v>
      </c>
      <c r="Q297" s="333">
        <f t="shared" si="312"/>
        <v>0</v>
      </c>
      <c r="R297" s="333">
        <f t="shared" si="312"/>
        <v>0</v>
      </c>
      <c r="S297" s="333">
        <f t="shared" si="312"/>
        <v>0</v>
      </c>
      <c r="T297" s="333">
        <f t="shared" si="312"/>
        <v>866995800</v>
      </c>
      <c r="U297" s="333"/>
      <c r="V297" s="333"/>
      <c r="W297" s="333"/>
      <c r="X297" s="333"/>
      <c r="Y297" s="333"/>
      <c r="Z297" s="333">
        <f t="shared" ref="Z297:AA297" si="313">SUM(Z295:Z296)</f>
        <v>0</v>
      </c>
      <c r="AA297" s="333">
        <f t="shared" si="313"/>
        <v>866995800</v>
      </c>
      <c r="AB297" s="333"/>
      <c r="AC297" s="333"/>
      <c r="AD297" s="333"/>
      <c r="AE297" s="333"/>
      <c r="AF297" s="333"/>
      <c r="AG297" s="333">
        <f t="shared" ref="AG297:AI297" si="314">SUM(AG295:AG296)</f>
        <v>0</v>
      </c>
      <c r="AH297" s="333">
        <f t="shared" si="314"/>
        <v>866995800</v>
      </c>
      <c r="AI297" s="333">
        <f t="shared" si="314"/>
        <v>866995800</v>
      </c>
      <c r="AJ297" s="740">
        <f>AI297/AH297*100</f>
        <v>100</v>
      </c>
    </row>
    <row r="298" spans="1:36" s="45" customFormat="1" ht="14">
      <c r="A298" s="103"/>
      <c r="B298" s="323"/>
      <c r="C298" s="118"/>
      <c r="D298" s="324"/>
      <c r="E298" s="22"/>
      <c r="F298" s="690"/>
      <c r="G298" s="686"/>
      <c r="H298" s="308"/>
      <c r="I298" s="332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  <c r="AH298" s="105"/>
      <c r="AI298" s="105"/>
      <c r="AJ298" s="732"/>
    </row>
    <row r="299" spans="1:36" s="45" customFormat="1" ht="14">
      <c r="A299" s="103"/>
      <c r="B299" s="323">
        <v>2</v>
      </c>
      <c r="C299" s="118"/>
      <c r="D299" s="324"/>
      <c r="E299" s="22"/>
      <c r="F299" s="690"/>
      <c r="G299" s="872" t="s">
        <v>221</v>
      </c>
      <c r="H299" s="867"/>
      <c r="I299" s="868"/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  <c r="AF299" s="105"/>
      <c r="AG299" s="105"/>
      <c r="AH299" s="105"/>
      <c r="AI299" s="105"/>
      <c r="AJ299" s="732"/>
    </row>
    <row r="300" spans="1:36" s="45" customFormat="1" ht="14">
      <c r="A300" s="103"/>
      <c r="B300" s="323"/>
      <c r="C300" s="118">
        <v>1</v>
      </c>
      <c r="D300" s="324"/>
      <c r="E300" s="22" t="s">
        <v>199</v>
      </c>
      <c r="F300" s="690"/>
      <c r="G300" s="686"/>
      <c r="H300" s="308" t="s">
        <v>221</v>
      </c>
      <c r="J300" s="105">
        <v>132571867</v>
      </c>
      <c r="K300" s="105"/>
      <c r="L300" s="105">
        <f>SUM(J300:K300)</f>
        <v>132571867</v>
      </c>
      <c r="M300" s="105"/>
      <c r="N300" s="105"/>
      <c r="O300" s="105"/>
      <c r="P300" s="105"/>
      <c r="Q300" s="105"/>
      <c r="R300" s="105"/>
      <c r="S300" s="105">
        <f t="shared" ref="S300" si="315">SUM(M300:R300)</f>
        <v>0</v>
      </c>
      <c r="T300" s="105">
        <f t="shared" ref="T300" si="316">S300+L300</f>
        <v>132571867</v>
      </c>
      <c r="U300" s="105"/>
      <c r="V300" s="105"/>
      <c r="W300" s="105"/>
      <c r="X300" s="105"/>
      <c r="Y300" s="105"/>
      <c r="Z300" s="105">
        <f>SUM(U300:Y300)</f>
        <v>0</v>
      </c>
      <c r="AA300" s="105">
        <f>Z300+T300</f>
        <v>132571867</v>
      </c>
      <c r="AB300" s="105"/>
      <c r="AC300" s="105"/>
      <c r="AD300" s="105"/>
      <c r="AE300" s="105"/>
      <c r="AF300" s="105"/>
      <c r="AG300" s="105">
        <f>SUM(AB300:AF300)</f>
        <v>0</v>
      </c>
      <c r="AH300" s="105">
        <f t="shared" ref="AH300" si="317">AG300+AA300</f>
        <v>132571867</v>
      </c>
      <c r="AI300" s="105">
        <v>132571867</v>
      </c>
      <c r="AJ300" s="732">
        <f>AI300/AH300*100</f>
        <v>100</v>
      </c>
    </row>
    <row r="301" spans="1:36" s="45" customFormat="1" ht="14">
      <c r="A301" s="103"/>
      <c r="B301" s="323"/>
      <c r="C301" s="118"/>
      <c r="D301" s="324"/>
      <c r="E301" s="22"/>
      <c r="F301" s="690"/>
      <c r="G301" s="686"/>
      <c r="H301" s="308"/>
      <c r="I301" s="308"/>
      <c r="J301" s="105"/>
      <c r="K301" s="105"/>
      <c r="L301" s="105"/>
      <c r="M301" s="105"/>
      <c r="N301" s="105"/>
      <c r="O301" s="105"/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  <c r="AH301" s="105"/>
      <c r="AI301" s="105"/>
      <c r="AJ301" s="732"/>
    </row>
    <row r="302" spans="1:36" s="45" customFormat="1" ht="12.75" customHeight="1">
      <c r="A302" s="103"/>
      <c r="B302" s="323"/>
      <c r="C302" s="118"/>
      <c r="D302" s="324"/>
      <c r="E302" s="22"/>
      <c r="F302" s="860" t="s">
        <v>38</v>
      </c>
      <c r="G302" s="861"/>
      <c r="H302" s="861"/>
      <c r="I302" s="862"/>
      <c r="J302" s="333">
        <f>SUM(J299:J300)</f>
        <v>132571867</v>
      </c>
      <c r="K302" s="333"/>
      <c r="L302" s="333">
        <f>SUM(L300:L301)</f>
        <v>132571867</v>
      </c>
      <c r="M302" s="333">
        <f t="shared" ref="M302:T302" si="318">SUM(M300:M301)</f>
        <v>0</v>
      </c>
      <c r="N302" s="333">
        <f t="shared" si="318"/>
        <v>0</v>
      </c>
      <c r="O302" s="333">
        <f t="shared" si="318"/>
        <v>0</v>
      </c>
      <c r="P302" s="333">
        <f t="shared" si="318"/>
        <v>0</v>
      </c>
      <c r="Q302" s="333">
        <f t="shared" si="318"/>
        <v>0</v>
      </c>
      <c r="R302" s="333">
        <f t="shared" si="318"/>
        <v>0</v>
      </c>
      <c r="S302" s="333">
        <f t="shared" si="318"/>
        <v>0</v>
      </c>
      <c r="T302" s="333">
        <f t="shared" si="318"/>
        <v>132571867</v>
      </c>
      <c r="U302" s="333"/>
      <c r="V302" s="333"/>
      <c r="W302" s="333"/>
      <c r="X302" s="333"/>
      <c r="Y302" s="333"/>
      <c r="Z302" s="333">
        <f t="shared" ref="Z302:AA302" si="319">SUM(Z300:Z301)</f>
        <v>0</v>
      </c>
      <c r="AA302" s="333">
        <f t="shared" si="319"/>
        <v>132571867</v>
      </c>
      <c r="AB302" s="333"/>
      <c r="AC302" s="333"/>
      <c r="AD302" s="333"/>
      <c r="AE302" s="333"/>
      <c r="AF302" s="333"/>
      <c r="AG302" s="333">
        <f t="shared" ref="AG302:AI302" si="320">SUM(AG300:AG301)</f>
        <v>0</v>
      </c>
      <c r="AH302" s="333">
        <f t="shared" si="320"/>
        <v>132571867</v>
      </c>
      <c r="AI302" s="333">
        <f t="shared" si="320"/>
        <v>132571867</v>
      </c>
      <c r="AJ302" s="740">
        <f>AI302/AH302*100</f>
        <v>100</v>
      </c>
    </row>
    <row r="303" spans="1:36" s="45" customFormat="1" ht="14">
      <c r="A303" s="103"/>
      <c r="B303" s="323"/>
      <c r="C303" s="118"/>
      <c r="D303" s="324"/>
      <c r="E303" s="22"/>
      <c r="F303" s="202"/>
      <c r="G303" s="202"/>
      <c r="H303" s="202"/>
      <c r="I303" s="202"/>
      <c r="J303" s="126"/>
      <c r="K303" s="126"/>
      <c r="L303" s="126"/>
      <c r="M303" s="126"/>
      <c r="N303" s="126"/>
      <c r="O303" s="126"/>
      <c r="P303" s="126"/>
      <c r="Q303" s="126"/>
      <c r="R303" s="126"/>
      <c r="S303" s="126"/>
      <c r="T303" s="126"/>
      <c r="U303" s="126"/>
      <c r="V303" s="126"/>
      <c r="W303" s="126"/>
      <c r="X303" s="126"/>
      <c r="Y303" s="126"/>
      <c r="Z303" s="126"/>
      <c r="AA303" s="126"/>
      <c r="AB303" s="126"/>
      <c r="AC303" s="126"/>
      <c r="AD303" s="126"/>
      <c r="AE303" s="126"/>
      <c r="AF303" s="126"/>
      <c r="AG303" s="126"/>
      <c r="AH303" s="126"/>
      <c r="AI303" s="126"/>
      <c r="AJ303" s="746"/>
    </row>
    <row r="304" spans="1:36" s="45" customFormat="1" ht="31.5" customHeight="1">
      <c r="A304" s="103"/>
      <c r="B304" s="323">
        <v>3</v>
      </c>
      <c r="C304" s="118"/>
      <c r="D304" s="324"/>
      <c r="E304" s="22"/>
      <c r="F304" s="202"/>
      <c r="G304" s="869" t="s">
        <v>329</v>
      </c>
      <c r="H304" s="911"/>
      <c r="I304" s="912"/>
      <c r="J304" s="126"/>
      <c r="K304" s="126"/>
      <c r="L304" s="126"/>
      <c r="M304" s="126"/>
      <c r="N304" s="126"/>
      <c r="O304" s="126"/>
      <c r="P304" s="126"/>
      <c r="Q304" s="126"/>
      <c r="R304" s="126"/>
      <c r="S304" s="126"/>
      <c r="T304" s="126"/>
      <c r="U304" s="126"/>
      <c r="V304" s="126"/>
      <c r="W304" s="126"/>
      <c r="X304" s="126"/>
      <c r="Y304" s="126"/>
      <c r="Z304" s="126"/>
      <c r="AA304" s="126"/>
      <c r="AB304" s="126"/>
      <c r="AC304" s="126"/>
      <c r="AD304" s="126"/>
      <c r="AE304" s="126"/>
      <c r="AF304" s="126"/>
      <c r="AG304" s="126"/>
      <c r="AH304" s="126"/>
      <c r="AI304" s="126"/>
      <c r="AJ304" s="746"/>
    </row>
    <row r="305" spans="1:36" s="45" customFormat="1" ht="26.25" customHeight="1">
      <c r="A305" s="103"/>
      <c r="B305" s="323"/>
      <c r="C305" s="118">
        <v>1</v>
      </c>
      <c r="D305" s="324"/>
      <c r="E305" s="22" t="s">
        <v>199</v>
      </c>
      <c r="F305" s="202"/>
      <c r="G305" s="202"/>
      <c r="H305" s="858" t="s">
        <v>329</v>
      </c>
      <c r="I305" s="859"/>
      <c r="J305" s="105">
        <v>36707922</v>
      </c>
      <c r="K305" s="105"/>
      <c r="L305" s="105">
        <f>SUM(J305:K305)</f>
        <v>36707922</v>
      </c>
      <c r="M305" s="105"/>
      <c r="N305" s="105"/>
      <c r="O305" s="105"/>
      <c r="P305" s="105"/>
      <c r="Q305" s="105"/>
      <c r="R305" s="105"/>
      <c r="S305" s="105">
        <f t="shared" ref="S305" si="321">SUM(M305:R305)</f>
        <v>0</v>
      </c>
      <c r="T305" s="105">
        <f t="shared" ref="T305" si="322">S305+L305</f>
        <v>36707922</v>
      </c>
      <c r="U305" s="105"/>
      <c r="V305" s="105"/>
      <c r="W305" s="105"/>
      <c r="X305" s="105"/>
      <c r="Y305" s="105"/>
      <c r="Z305" s="105">
        <f>SUM(U305:Y305)</f>
        <v>0</v>
      </c>
      <c r="AA305" s="105">
        <f>Z305+T305</f>
        <v>36707922</v>
      </c>
      <c r="AB305" s="105"/>
      <c r="AC305" s="105"/>
      <c r="AD305" s="105"/>
      <c r="AE305" s="105"/>
      <c r="AF305" s="105"/>
      <c r="AG305" s="105">
        <f>SUM(AB305:AF305)</f>
        <v>0</v>
      </c>
      <c r="AH305" s="105">
        <f t="shared" ref="AH305" si="323">AG305+AA305</f>
        <v>36707922</v>
      </c>
      <c r="AI305" s="105">
        <v>36707922</v>
      </c>
      <c r="AJ305" s="732">
        <f>AI305/AH305*100</f>
        <v>100</v>
      </c>
    </row>
    <row r="306" spans="1:36" s="45" customFormat="1" ht="14">
      <c r="A306" s="103"/>
      <c r="B306" s="323"/>
      <c r="C306" s="118"/>
      <c r="D306" s="324"/>
      <c r="E306" s="22"/>
      <c r="F306" s="202"/>
      <c r="G306" s="202"/>
      <c r="H306" s="202"/>
      <c r="I306" s="202"/>
      <c r="J306" s="126"/>
      <c r="K306" s="126"/>
      <c r="L306" s="126"/>
      <c r="M306" s="126"/>
      <c r="N306" s="126"/>
      <c r="O306" s="126"/>
      <c r="P306" s="126"/>
      <c r="Q306" s="126"/>
      <c r="R306" s="126"/>
      <c r="S306" s="126"/>
      <c r="T306" s="126"/>
      <c r="U306" s="126"/>
      <c r="V306" s="126"/>
      <c r="W306" s="126"/>
      <c r="X306" s="126"/>
      <c r="Y306" s="126"/>
      <c r="Z306" s="126"/>
      <c r="AA306" s="126"/>
      <c r="AB306" s="126"/>
      <c r="AC306" s="126"/>
      <c r="AD306" s="126"/>
      <c r="AE306" s="126"/>
      <c r="AF306" s="126"/>
      <c r="AG306" s="126"/>
      <c r="AH306" s="126"/>
      <c r="AI306" s="126"/>
      <c r="AJ306" s="746"/>
    </row>
    <row r="307" spans="1:36" s="45" customFormat="1" ht="14">
      <c r="A307" s="103"/>
      <c r="B307" s="323"/>
      <c r="C307" s="118"/>
      <c r="D307" s="324"/>
      <c r="E307" s="22"/>
      <c r="F307" s="860" t="s">
        <v>38</v>
      </c>
      <c r="G307" s="861"/>
      <c r="H307" s="861"/>
      <c r="I307" s="862"/>
      <c r="J307" s="333">
        <f>SUM(J304:J305)</f>
        <v>36707922</v>
      </c>
      <c r="K307" s="333"/>
      <c r="L307" s="333">
        <f>SUM(L305:L306)</f>
        <v>36707922</v>
      </c>
      <c r="M307" s="333">
        <f t="shared" ref="M307:T307" si="324">SUM(M305:M306)</f>
        <v>0</v>
      </c>
      <c r="N307" s="333">
        <f t="shared" si="324"/>
        <v>0</v>
      </c>
      <c r="O307" s="333">
        <f t="shared" si="324"/>
        <v>0</v>
      </c>
      <c r="P307" s="333">
        <f t="shared" si="324"/>
        <v>0</v>
      </c>
      <c r="Q307" s="333">
        <f t="shared" si="324"/>
        <v>0</v>
      </c>
      <c r="R307" s="333">
        <f t="shared" si="324"/>
        <v>0</v>
      </c>
      <c r="S307" s="333">
        <f t="shared" si="324"/>
        <v>0</v>
      </c>
      <c r="T307" s="333">
        <f t="shared" si="324"/>
        <v>36707922</v>
      </c>
      <c r="U307" s="333"/>
      <c r="V307" s="333"/>
      <c r="W307" s="333"/>
      <c r="X307" s="333"/>
      <c r="Y307" s="333"/>
      <c r="Z307" s="333">
        <f t="shared" ref="Z307:AA307" si="325">SUM(Z305:Z306)</f>
        <v>0</v>
      </c>
      <c r="AA307" s="333">
        <f t="shared" si="325"/>
        <v>36707922</v>
      </c>
      <c r="AB307" s="333"/>
      <c r="AC307" s="333"/>
      <c r="AD307" s="333"/>
      <c r="AE307" s="333"/>
      <c r="AF307" s="333"/>
      <c r="AG307" s="333">
        <f t="shared" ref="AG307:AH307" si="326">SUM(AG305:AG306)</f>
        <v>0</v>
      </c>
      <c r="AH307" s="333">
        <f t="shared" si="326"/>
        <v>36707922</v>
      </c>
      <c r="AI307" s="333">
        <f t="shared" ref="AI307" si="327">SUM(AI305:AI306)</f>
        <v>36707922</v>
      </c>
      <c r="AJ307" s="740">
        <f>AI307/AH307*100</f>
        <v>100</v>
      </c>
    </row>
    <row r="308" spans="1:36" s="45" customFormat="1" ht="14">
      <c r="A308" s="103"/>
      <c r="B308" s="323"/>
      <c r="C308" s="118"/>
      <c r="D308" s="324"/>
      <c r="E308" s="22"/>
      <c r="F308" s="690"/>
      <c r="G308" s="686"/>
      <c r="H308" s="308"/>
      <c r="I308" s="308"/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  <c r="AH308" s="105"/>
      <c r="AI308" s="105"/>
      <c r="AJ308" s="732"/>
    </row>
    <row r="309" spans="1:36" s="45" customFormat="1" ht="14">
      <c r="A309" s="103"/>
      <c r="B309" s="323"/>
      <c r="C309" s="118"/>
      <c r="D309" s="324"/>
      <c r="E309" s="22"/>
      <c r="F309" s="20" t="s">
        <v>37</v>
      </c>
      <c r="G309" s="20"/>
      <c r="H309" s="4"/>
      <c r="I309" s="5"/>
      <c r="J309" s="101">
        <f>SUM(J293:J307)/2</f>
        <v>1036275589</v>
      </c>
      <c r="K309" s="101"/>
      <c r="L309" s="101">
        <f>SUM(L293:L307)/2</f>
        <v>1036275589</v>
      </c>
      <c r="M309" s="101">
        <f t="shared" ref="M309:T309" si="328">SUM(M293:M307)/2</f>
        <v>0</v>
      </c>
      <c r="N309" s="101">
        <f t="shared" si="328"/>
        <v>0</v>
      </c>
      <c r="O309" s="101">
        <f t="shared" si="328"/>
        <v>0</v>
      </c>
      <c r="P309" s="101">
        <f t="shared" si="328"/>
        <v>0</v>
      </c>
      <c r="Q309" s="101">
        <f t="shared" si="328"/>
        <v>0</v>
      </c>
      <c r="R309" s="101">
        <f t="shared" si="328"/>
        <v>0</v>
      </c>
      <c r="S309" s="101">
        <f t="shared" si="328"/>
        <v>0</v>
      </c>
      <c r="T309" s="101">
        <f t="shared" si="328"/>
        <v>1036275589</v>
      </c>
      <c r="U309" s="101"/>
      <c r="V309" s="101"/>
      <c r="W309" s="101"/>
      <c r="X309" s="101"/>
      <c r="Y309" s="101"/>
      <c r="Z309" s="101">
        <f t="shared" ref="Z309:AA309" si="329">SUM(Z293:Z307)/2</f>
        <v>0</v>
      </c>
      <c r="AA309" s="101">
        <f t="shared" si="329"/>
        <v>1036275589</v>
      </c>
      <c r="AB309" s="101"/>
      <c r="AC309" s="101"/>
      <c r="AD309" s="101"/>
      <c r="AE309" s="101"/>
      <c r="AF309" s="101"/>
      <c r="AG309" s="101">
        <f t="shared" ref="AG309:AH309" si="330">SUM(AG293:AG307)/2</f>
        <v>0</v>
      </c>
      <c r="AH309" s="101">
        <f t="shared" si="330"/>
        <v>1036275589</v>
      </c>
      <c r="AI309" s="101">
        <f t="shared" ref="AI309" si="331">SUM(AI293:AI307)/2</f>
        <v>1036275589</v>
      </c>
      <c r="AJ309" s="733">
        <f>AI309/AH309*100</f>
        <v>100</v>
      </c>
    </row>
    <row r="310" spans="1:36" s="45" customFormat="1" ht="14">
      <c r="A310" s="103"/>
      <c r="B310" s="323"/>
      <c r="C310" s="118"/>
      <c r="D310" s="324"/>
      <c r="E310" s="22"/>
      <c r="F310" s="689"/>
      <c r="G310" s="690"/>
      <c r="H310" s="689"/>
      <c r="I310" s="687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734"/>
    </row>
    <row r="311" spans="1:36" s="45" customFormat="1" ht="32.25" customHeight="1">
      <c r="A311" s="103">
        <v>3</v>
      </c>
      <c r="B311" s="323"/>
      <c r="C311" s="118"/>
      <c r="D311" s="327">
        <v>1</v>
      </c>
      <c r="E311" s="22"/>
      <c r="F311" s="863" t="s">
        <v>354</v>
      </c>
      <c r="G311" s="870"/>
      <c r="H311" s="870"/>
      <c r="I311" s="871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734"/>
    </row>
    <row r="312" spans="1:36" s="45" customFormat="1" ht="16.5" customHeight="1">
      <c r="A312" s="103"/>
      <c r="B312" s="323">
        <v>1</v>
      </c>
      <c r="C312" s="118"/>
      <c r="D312" s="327">
        <v>1</v>
      </c>
      <c r="E312" s="22"/>
      <c r="F312" s="687"/>
      <c r="G312" s="905" t="s">
        <v>222</v>
      </c>
      <c r="H312" s="906"/>
      <c r="I312" s="907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734"/>
    </row>
    <row r="313" spans="1:36" s="45" customFormat="1" ht="16.5" customHeight="1">
      <c r="A313" s="103"/>
      <c r="B313" s="323"/>
      <c r="C313" s="118">
        <v>1</v>
      </c>
      <c r="D313" s="324"/>
      <c r="E313" s="22" t="s">
        <v>199</v>
      </c>
      <c r="F313" s="690"/>
      <c r="G313" s="690"/>
      <c r="H313" s="689" t="s">
        <v>383</v>
      </c>
      <c r="J313" s="105">
        <v>23120000</v>
      </c>
      <c r="K313" s="105"/>
      <c r="L313" s="105">
        <f t="shared" ref="L313:L321" si="332">SUM(J313:K313)</f>
        <v>23120000</v>
      </c>
      <c r="M313" s="105"/>
      <c r="N313" s="105"/>
      <c r="O313" s="105"/>
      <c r="P313" s="105"/>
      <c r="Q313" s="105"/>
      <c r="R313" s="105"/>
      <c r="S313" s="105">
        <f t="shared" ref="S313" si="333">SUM(M313:R313)</f>
        <v>0</v>
      </c>
      <c r="T313" s="105">
        <f t="shared" ref="T313" si="334">S313+L313</f>
        <v>23120000</v>
      </c>
      <c r="U313" s="105"/>
      <c r="V313" s="105"/>
      <c r="W313" s="105"/>
      <c r="X313" s="105"/>
      <c r="Y313" s="105"/>
      <c r="Z313" s="105">
        <f t="shared" ref="Z313:Z321" si="335">SUM(U313:Y313)</f>
        <v>0</v>
      </c>
      <c r="AA313" s="105">
        <f t="shared" ref="AA313:AA321" si="336">Z313+T313</f>
        <v>23120000</v>
      </c>
      <c r="AB313" s="105"/>
      <c r="AC313" s="105"/>
      <c r="AD313" s="105"/>
      <c r="AE313" s="105"/>
      <c r="AF313" s="105"/>
      <c r="AG313" s="105">
        <f t="shared" ref="AG313:AG322" si="337">SUM(AB313:AF313)</f>
        <v>0</v>
      </c>
      <c r="AH313" s="105">
        <f t="shared" ref="AH313:AH322" si="338">AG313+AA313</f>
        <v>23120000</v>
      </c>
      <c r="AI313" s="105">
        <v>23120000</v>
      </c>
      <c r="AJ313" s="732">
        <f t="shared" ref="AJ313:AJ322" si="339">AI313/AH313*100</f>
        <v>100</v>
      </c>
    </row>
    <row r="314" spans="1:36" s="45" customFormat="1" ht="16.5" customHeight="1">
      <c r="A314" s="103"/>
      <c r="B314" s="323"/>
      <c r="C314" s="118">
        <v>2</v>
      </c>
      <c r="D314" s="324"/>
      <c r="E314" s="22" t="s">
        <v>199</v>
      </c>
      <c r="F314" s="690"/>
      <c r="G314" s="690"/>
      <c r="H314" s="689" t="s">
        <v>384</v>
      </c>
      <c r="J314" s="105">
        <v>39930000</v>
      </c>
      <c r="K314" s="105"/>
      <c r="L314" s="105">
        <f t="shared" si="332"/>
        <v>39930000</v>
      </c>
      <c r="M314" s="105"/>
      <c r="N314" s="105"/>
      <c r="O314" s="105"/>
      <c r="P314" s="105"/>
      <c r="Q314" s="105"/>
      <c r="R314" s="105"/>
      <c r="S314" s="105">
        <f t="shared" ref="S314:S321" si="340">SUM(M314:R314)</f>
        <v>0</v>
      </c>
      <c r="T314" s="105">
        <f t="shared" ref="T314:T321" si="341">S314+L314</f>
        <v>39930000</v>
      </c>
      <c r="U314" s="105"/>
      <c r="V314" s="105"/>
      <c r="W314" s="105"/>
      <c r="X314" s="105"/>
      <c r="Y314" s="105"/>
      <c r="Z314" s="105">
        <f t="shared" si="335"/>
        <v>0</v>
      </c>
      <c r="AA314" s="105">
        <f t="shared" si="336"/>
        <v>39930000</v>
      </c>
      <c r="AB314" s="105"/>
      <c r="AC314" s="105"/>
      <c r="AD314" s="105"/>
      <c r="AE314" s="105"/>
      <c r="AF314" s="105"/>
      <c r="AG314" s="105">
        <f t="shared" si="337"/>
        <v>0</v>
      </c>
      <c r="AH314" s="105">
        <f t="shared" si="338"/>
        <v>39930000</v>
      </c>
      <c r="AI314" s="105">
        <v>39930000</v>
      </c>
      <c r="AJ314" s="732">
        <f t="shared" si="339"/>
        <v>100</v>
      </c>
    </row>
    <row r="315" spans="1:36" s="45" customFormat="1" ht="16.5" customHeight="1">
      <c r="A315" s="103"/>
      <c r="B315" s="323"/>
      <c r="C315" s="118">
        <v>3</v>
      </c>
      <c r="D315" s="324"/>
      <c r="E315" s="22" t="s">
        <v>199</v>
      </c>
      <c r="F315" s="690"/>
      <c r="G315" s="690"/>
      <c r="H315" s="689" t="s">
        <v>223</v>
      </c>
      <c r="J315" s="105">
        <v>26019200</v>
      </c>
      <c r="K315" s="105"/>
      <c r="L315" s="105">
        <f t="shared" si="332"/>
        <v>26019200</v>
      </c>
      <c r="M315" s="105"/>
      <c r="N315" s="105"/>
      <c r="O315" s="105"/>
      <c r="P315" s="105"/>
      <c r="Q315" s="105"/>
      <c r="R315" s="105"/>
      <c r="S315" s="105">
        <f t="shared" si="340"/>
        <v>0</v>
      </c>
      <c r="T315" s="105">
        <f t="shared" si="341"/>
        <v>26019200</v>
      </c>
      <c r="U315" s="105"/>
      <c r="V315" s="105"/>
      <c r="W315" s="105"/>
      <c r="X315" s="105"/>
      <c r="Y315" s="105"/>
      <c r="Z315" s="105">
        <f t="shared" si="335"/>
        <v>0</v>
      </c>
      <c r="AA315" s="105">
        <f t="shared" si="336"/>
        <v>26019200</v>
      </c>
      <c r="AB315" s="105"/>
      <c r="AC315" s="105"/>
      <c r="AD315" s="105"/>
      <c r="AE315" s="105"/>
      <c r="AF315" s="105"/>
      <c r="AG315" s="105">
        <f t="shared" si="337"/>
        <v>0</v>
      </c>
      <c r="AH315" s="105">
        <f t="shared" si="338"/>
        <v>26019200</v>
      </c>
      <c r="AI315" s="105">
        <v>26019200</v>
      </c>
      <c r="AJ315" s="732">
        <f t="shared" si="339"/>
        <v>100</v>
      </c>
    </row>
    <row r="316" spans="1:36" s="45" customFormat="1" ht="16.5" customHeight="1">
      <c r="A316" s="103"/>
      <c r="B316" s="323"/>
      <c r="C316" s="118">
        <v>4</v>
      </c>
      <c r="D316" s="324"/>
      <c r="E316" s="22" t="s">
        <v>199</v>
      </c>
      <c r="F316" s="690"/>
      <c r="G316" s="690"/>
      <c r="H316" s="689" t="s">
        <v>224</v>
      </c>
      <c r="J316" s="105">
        <v>29950000</v>
      </c>
      <c r="K316" s="105"/>
      <c r="L316" s="105">
        <f t="shared" si="332"/>
        <v>29950000</v>
      </c>
      <c r="M316" s="105"/>
      <c r="N316" s="105"/>
      <c r="O316" s="105"/>
      <c r="P316" s="105"/>
      <c r="Q316" s="105"/>
      <c r="R316" s="105"/>
      <c r="S316" s="105">
        <f t="shared" si="340"/>
        <v>0</v>
      </c>
      <c r="T316" s="105">
        <f t="shared" si="341"/>
        <v>29950000</v>
      </c>
      <c r="U316" s="105"/>
      <c r="V316" s="105"/>
      <c r="W316" s="105"/>
      <c r="X316" s="105"/>
      <c r="Y316" s="105"/>
      <c r="Z316" s="105">
        <f t="shared" si="335"/>
        <v>0</v>
      </c>
      <c r="AA316" s="105">
        <f t="shared" si="336"/>
        <v>29950000</v>
      </c>
      <c r="AB316" s="105"/>
      <c r="AC316" s="105"/>
      <c r="AD316" s="105"/>
      <c r="AE316" s="105"/>
      <c r="AF316" s="105"/>
      <c r="AG316" s="105">
        <f t="shared" si="337"/>
        <v>0</v>
      </c>
      <c r="AH316" s="105">
        <f t="shared" si="338"/>
        <v>29950000</v>
      </c>
      <c r="AI316" s="105">
        <v>29950000</v>
      </c>
      <c r="AJ316" s="732">
        <f t="shared" si="339"/>
        <v>100</v>
      </c>
    </row>
    <row r="317" spans="1:36" s="45" customFormat="1" ht="15" customHeight="1">
      <c r="A317" s="103"/>
      <c r="B317" s="323"/>
      <c r="C317" s="118">
        <v>5</v>
      </c>
      <c r="D317" s="324"/>
      <c r="E317" s="22" t="s">
        <v>199</v>
      </c>
      <c r="F317" s="690"/>
      <c r="G317" s="690"/>
      <c r="H317" s="689" t="s">
        <v>225</v>
      </c>
      <c r="J317" s="105">
        <v>11990000</v>
      </c>
      <c r="K317" s="105"/>
      <c r="L317" s="105">
        <f t="shared" si="332"/>
        <v>11990000</v>
      </c>
      <c r="M317" s="105"/>
      <c r="N317" s="105"/>
      <c r="O317" s="105"/>
      <c r="P317" s="105"/>
      <c r="Q317" s="105"/>
      <c r="R317" s="105"/>
      <c r="S317" s="105">
        <f t="shared" si="340"/>
        <v>0</v>
      </c>
      <c r="T317" s="105">
        <f t="shared" si="341"/>
        <v>11990000</v>
      </c>
      <c r="U317" s="105"/>
      <c r="V317" s="105"/>
      <c r="W317" s="105"/>
      <c r="X317" s="105"/>
      <c r="Y317" s="105"/>
      <c r="Z317" s="105">
        <f t="shared" si="335"/>
        <v>0</v>
      </c>
      <c r="AA317" s="105">
        <f t="shared" si="336"/>
        <v>11990000</v>
      </c>
      <c r="AB317" s="105"/>
      <c r="AC317" s="105"/>
      <c r="AD317" s="105"/>
      <c r="AE317" s="105"/>
      <c r="AF317" s="105"/>
      <c r="AG317" s="105">
        <f t="shared" si="337"/>
        <v>0</v>
      </c>
      <c r="AH317" s="105">
        <f t="shared" si="338"/>
        <v>11990000</v>
      </c>
      <c r="AI317" s="105">
        <v>11990000</v>
      </c>
      <c r="AJ317" s="732">
        <f t="shared" si="339"/>
        <v>100</v>
      </c>
    </row>
    <row r="318" spans="1:36" s="45" customFormat="1" ht="15" customHeight="1">
      <c r="A318" s="103"/>
      <c r="B318" s="323"/>
      <c r="C318" s="118">
        <v>6</v>
      </c>
      <c r="D318" s="324"/>
      <c r="E318" s="22" t="s">
        <v>199</v>
      </c>
      <c r="F318" s="690"/>
      <c r="G318" s="690"/>
      <c r="H318" s="689" t="s">
        <v>226</v>
      </c>
      <c r="J318" s="105">
        <v>16100000</v>
      </c>
      <c r="K318" s="105"/>
      <c r="L318" s="105">
        <f>SUM(J318:K318)</f>
        <v>16100000</v>
      </c>
      <c r="M318" s="105"/>
      <c r="N318" s="105"/>
      <c r="O318" s="105"/>
      <c r="P318" s="105"/>
      <c r="Q318" s="105"/>
      <c r="R318" s="105"/>
      <c r="S318" s="105">
        <f t="shared" si="340"/>
        <v>0</v>
      </c>
      <c r="T318" s="105">
        <f t="shared" si="341"/>
        <v>16100000</v>
      </c>
      <c r="U318" s="105"/>
      <c r="V318" s="105"/>
      <c r="W318" s="105"/>
      <c r="X318" s="105"/>
      <c r="Y318" s="105"/>
      <c r="Z318" s="105">
        <f t="shared" si="335"/>
        <v>0</v>
      </c>
      <c r="AA318" s="105">
        <f t="shared" si="336"/>
        <v>16100000</v>
      </c>
      <c r="AB318" s="105"/>
      <c r="AC318" s="105"/>
      <c r="AD318" s="105"/>
      <c r="AE318" s="105"/>
      <c r="AF318" s="105"/>
      <c r="AG318" s="105">
        <f t="shared" si="337"/>
        <v>0</v>
      </c>
      <c r="AH318" s="105">
        <f t="shared" si="338"/>
        <v>16100000</v>
      </c>
      <c r="AI318" s="105">
        <v>16100000</v>
      </c>
      <c r="AJ318" s="732">
        <f t="shared" si="339"/>
        <v>100</v>
      </c>
    </row>
    <row r="319" spans="1:36" s="45" customFormat="1" ht="15" customHeight="1">
      <c r="A319" s="103"/>
      <c r="B319" s="323"/>
      <c r="C319" s="118">
        <v>7</v>
      </c>
      <c r="D319" s="324"/>
      <c r="E319" s="22" t="s">
        <v>199</v>
      </c>
      <c r="F319" s="690"/>
      <c r="G319" s="690"/>
      <c r="H319" s="689" t="s">
        <v>490</v>
      </c>
      <c r="J319" s="105">
        <v>21600000</v>
      </c>
      <c r="K319" s="105"/>
      <c r="L319" s="105">
        <f>SUM(J319:K319)</f>
        <v>21600000</v>
      </c>
      <c r="M319" s="105"/>
      <c r="N319" s="105"/>
      <c r="O319" s="105"/>
      <c r="P319" s="105"/>
      <c r="Q319" s="105"/>
      <c r="R319" s="105"/>
      <c r="S319" s="105">
        <f t="shared" si="340"/>
        <v>0</v>
      </c>
      <c r="T319" s="105">
        <f t="shared" si="341"/>
        <v>21600000</v>
      </c>
      <c r="U319" s="105"/>
      <c r="V319" s="105"/>
      <c r="W319" s="105"/>
      <c r="X319" s="105"/>
      <c r="Y319" s="105"/>
      <c r="Z319" s="105">
        <f t="shared" si="335"/>
        <v>0</v>
      </c>
      <c r="AA319" s="105">
        <f t="shared" si="336"/>
        <v>21600000</v>
      </c>
      <c r="AB319" s="105"/>
      <c r="AC319" s="105"/>
      <c r="AD319" s="105"/>
      <c r="AE319" s="105"/>
      <c r="AF319" s="105"/>
      <c r="AG319" s="105">
        <f t="shared" si="337"/>
        <v>0</v>
      </c>
      <c r="AH319" s="105">
        <f t="shared" si="338"/>
        <v>21600000</v>
      </c>
      <c r="AI319" s="105">
        <v>21600000</v>
      </c>
      <c r="AJ319" s="732">
        <f t="shared" si="339"/>
        <v>100</v>
      </c>
    </row>
    <row r="320" spans="1:36" s="45" customFormat="1" ht="15" customHeight="1">
      <c r="A320" s="103"/>
      <c r="B320" s="323"/>
      <c r="C320" s="118">
        <v>8</v>
      </c>
      <c r="D320" s="324"/>
      <c r="E320" s="22" t="s">
        <v>199</v>
      </c>
      <c r="F320" s="690"/>
      <c r="G320" s="690"/>
      <c r="H320" s="689" t="s">
        <v>129</v>
      </c>
      <c r="J320" s="105">
        <v>31850000</v>
      </c>
      <c r="K320" s="105"/>
      <c r="L320" s="105">
        <f t="shared" si="332"/>
        <v>31850000</v>
      </c>
      <c r="M320" s="105"/>
      <c r="N320" s="105"/>
      <c r="O320" s="105"/>
      <c r="P320" s="105"/>
      <c r="Q320" s="105"/>
      <c r="R320" s="105"/>
      <c r="S320" s="105">
        <f t="shared" si="340"/>
        <v>0</v>
      </c>
      <c r="T320" s="105">
        <f t="shared" si="341"/>
        <v>31850000</v>
      </c>
      <c r="U320" s="105"/>
      <c r="V320" s="105"/>
      <c r="W320" s="105"/>
      <c r="X320" s="105"/>
      <c r="Y320" s="105"/>
      <c r="Z320" s="105">
        <f t="shared" si="335"/>
        <v>0</v>
      </c>
      <c r="AA320" s="105">
        <f t="shared" si="336"/>
        <v>31850000</v>
      </c>
      <c r="AB320" s="105"/>
      <c r="AC320" s="105"/>
      <c r="AD320" s="105"/>
      <c r="AE320" s="105"/>
      <c r="AF320" s="105"/>
      <c r="AG320" s="105">
        <f t="shared" si="337"/>
        <v>0</v>
      </c>
      <c r="AH320" s="105">
        <f t="shared" si="338"/>
        <v>31850000</v>
      </c>
      <c r="AI320" s="105">
        <v>31850000</v>
      </c>
      <c r="AJ320" s="732">
        <f t="shared" si="339"/>
        <v>100</v>
      </c>
    </row>
    <row r="321" spans="1:36" s="45" customFormat="1" ht="15" customHeight="1">
      <c r="A321" s="103"/>
      <c r="B321" s="323"/>
      <c r="C321" s="118">
        <v>9</v>
      </c>
      <c r="D321" s="324"/>
      <c r="E321" s="22" t="s">
        <v>199</v>
      </c>
      <c r="F321" s="690"/>
      <c r="G321" s="690"/>
      <c r="H321" s="689" t="s">
        <v>425</v>
      </c>
      <c r="J321" s="105">
        <v>9708800</v>
      </c>
      <c r="K321" s="105"/>
      <c r="L321" s="105">
        <f t="shared" si="332"/>
        <v>9708800</v>
      </c>
      <c r="M321" s="105"/>
      <c r="N321" s="105"/>
      <c r="O321" s="105"/>
      <c r="P321" s="105"/>
      <c r="Q321" s="105"/>
      <c r="R321" s="105"/>
      <c r="S321" s="105">
        <f t="shared" si="340"/>
        <v>0</v>
      </c>
      <c r="T321" s="105">
        <f t="shared" si="341"/>
        <v>9708800</v>
      </c>
      <c r="U321" s="105"/>
      <c r="V321" s="105"/>
      <c r="W321" s="105"/>
      <c r="X321" s="105"/>
      <c r="Y321" s="105"/>
      <c r="Z321" s="105">
        <f t="shared" si="335"/>
        <v>0</v>
      </c>
      <c r="AA321" s="105">
        <f t="shared" si="336"/>
        <v>9708800</v>
      </c>
      <c r="AB321" s="105"/>
      <c r="AC321" s="105"/>
      <c r="AD321" s="105"/>
      <c r="AE321" s="105"/>
      <c r="AF321" s="105"/>
      <c r="AG321" s="105">
        <f t="shared" si="337"/>
        <v>0</v>
      </c>
      <c r="AH321" s="105">
        <f t="shared" si="338"/>
        <v>9708800</v>
      </c>
      <c r="AI321" s="105">
        <v>9708800</v>
      </c>
      <c r="AJ321" s="732">
        <f t="shared" si="339"/>
        <v>100</v>
      </c>
    </row>
    <row r="322" spans="1:36" s="45" customFormat="1" ht="13.5" customHeight="1">
      <c r="A322" s="273"/>
      <c r="B322" s="323"/>
      <c r="C322" s="118">
        <v>10</v>
      </c>
      <c r="D322" s="331"/>
      <c r="E322" s="155" t="s">
        <v>199</v>
      </c>
      <c r="F322" s="690"/>
      <c r="G322" s="690"/>
      <c r="H322" s="858" t="s">
        <v>661</v>
      </c>
      <c r="I322" s="924"/>
      <c r="J322" s="156"/>
      <c r="K322" s="156"/>
      <c r="L322" s="156"/>
      <c r="M322" s="156"/>
      <c r="N322" s="156"/>
      <c r="O322" s="156"/>
      <c r="P322" s="156"/>
      <c r="Q322" s="156"/>
      <c r="R322" s="156"/>
      <c r="S322" s="156"/>
      <c r="T322" s="156"/>
      <c r="U322" s="156">
        <v>16004682</v>
      </c>
      <c r="V322" s="156"/>
      <c r="W322" s="156"/>
      <c r="X322" s="156"/>
      <c r="Y322" s="156"/>
      <c r="Z322" s="105">
        <f t="shared" ref="Z322" si="342">SUM(U322:Y322)</f>
        <v>16004682</v>
      </c>
      <c r="AA322" s="105">
        <f t="shared" ref="AA322" si="343">Z322+T322</f>
        <v>16004682</v>
      </c>
      <c r="AB322" s="156"/>
      <c r="AC322" s="156"/>
      <c r="AD322" s="156"/>
      <c r="AE322" s="156"/>
      <c r="AF322" s="156"/>
      <c r="AG322" s="105">
        <f t="shared" si="337"/>
        <v>0</v>
      </c>
      <c r="AH322" s="105">
        <f t="shared" si="338"/>
        <v>16004682</v>
      </c>
      <c r="AI322" s="105">
        <v>16004682</v>
      </c>
      <c r="AJ322" s="732">
        <f t="shared" si="339"/>
        <v>100</v>
      </c>
    </row>
    <row r="323" spans="1:36" s="45" customFormat="1" ht="14">
      <c r="A323" s="103"/>
      <c r="B323" s="323"/>
      <c r="C323" s="118"/>
      <c r="D323" s="324"/>
      <c r="E323" s="22"/>
      <c r="F323" s="690"/>
      <c r="G323" s="690"/>
      <c r="I323" s="684"/>
      <c r="J323" s="105"/>
      <c r="K323" s="105"/>
      <c r="L323" s="105"/>
      <c r="M323" s="105"/>
      <c r="N323" s="105"/>
      <c r="O323" s="105"/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  <c r="AF323" s="105"/>
      <c r="AG323" s="105"/>
      <c r="AH323" s="105"/>
      <c r="AI323" s="105"/>
      <c r="AJ323" s="732"/>
    </row>
    <row r="324" spans="1:36" s="45" customFormat="1" ht="14.25" customHeight="1">
      <c r="A324" s="103"/>
      <c r="B324" s="323"/>
      <c r="C324" s="118"/>
      <c r="D324" s="324"/>
      <c r="E324" s="22"/>
      <c r="F324" s="860" t="s">
        <v>38</v>
      </c>
      <c r="G324" s="861"/>
      <c r="H324" s="861"/>
      <c r="I324" s="862"/>
      <c r="J324" s="333">
        <f>SUM(J313:J321)</f>
        <v>210268000</v>
      </c>
      <c r="K324" s="333"/>
      <c r="L324" s="333">
        <f>SUM(L313:L323)</f>
        <v>210268000</v>
      </c>
      <c r="M324" s="333">
        <f t="shared" ref="M324:U324" si="344">SUM(M313:M323)</f>
        <v>0</v>
      </c>
      <c r="N324" s="333">
        <f t="shared" si="344"/>
        <v>0</v>
      </c>
      <c r="O324" s="333">
        <f t="shared" si="344"/>
        <v>0</v>
      </c>
      <c r="P324" s="333">
        <f t="shared" si="344"/>
        <v>0</v>
      </c>
      <c r="Q324" s="333">
        <f t="shared" si="344"/>
        <v>0</v>
      </c>
      <c r="R324" s="333">
        <f t="shared" si="344"/>
        <v>0</v>
      </c>
      <c r="S324" s="333">
        <f t="shared" si="344"/>
        <v>0</v>
      </c>
      <c r="T324" s="333">
        <f t="shared" si="344"/>
        <v>210268000</v>
      </c>
      <c r="U324" s="333">
        <f t="shared" si="344"/>
        <v>16004682</v>
      </c>
      <c r="V324" s="333"/>
      <c r="W324" s="333"/>
      <c r="X324" s="333"/>
      <c r="Y324" s="333"/>
      <c r="Z324" s="333">
        <f t="shared" ref="Z324:AB324" si="345">SUM(Z313:Z323)</f>
        <v>16004682</v>
      </c>
      <c r="AA324" s="333">
        <f t="shared" si="345"/>
        <v>226272682</v>
      </c>
      <c r="AB324" s="333">
        <f t="shared" si="345"/>
        <v>0</v>
      </c>
      <c r="AC324" s="333"/>
      <c r="AD324" s="333"/>
      <c r="AE324" s="333"/>
      <c r="AF324" s="333"/>
      <c r="AG324" s="333">
        <f t="shared" ref="AG324:AI324" si="346">SUM(AG313:AG323)</f>
        <v>0</v>
      </c>
      <c r="AH324" s="333">
        <f t="shared" si="346"/>
        <v>226272682</v>
      </c>
      <c r="AI324" s="333">
        <f t="shared" si="346"/>
        <v>226272682</v>
      </c>
      <c r="AJ324" s="740">
        <f>AI324/AH324*100</f>
        <v>100</v>
      </c>
    </row>
    <row r="325" spans="1:36" s="45" customFormat="1" ht="14">
      <c r="A325" s="103"/>
      <c r="B325" s="323"/>
      <c r="C325" s="118"/>
      <c r="D325" s="324"/>
      <c r="E325" s="22"/>
      <c r="F325" s="41"/>
      <c r="G325" s="41"/>
      <c r="H325" s="66"/>
      <c r="I325" s="41"/>
      <c r="J325" s="126"/>
      <c r="K325" s="126"/>
      <c r="L325" s="126"/>
      <c r="M325" s="126"/>
      <c r="N325" s="126"/>
      <c r="O325" s="126"/>
      <c r="P325" s="126"/>
      <c r="Q325" s="126"/>
      <c r="R325" s="126"/>
      <c r="S325" s="126"/>
      <c r="T325" s="126"/>
      <c r="U325" s="126"/>
      <c r="V325" s="126"/>
      <c r="W325" s="126"/>
      <c r="X325" s="126"/>
      <c r="Y325" s="126"/>
      <c r="Z325" s="126"/>
      <c r="AA325" s="126"/>
      <c r="AB325" s="126"/>
      <c r="AC325" s="126"/>
      <c r="AD325" s="126"/>
      <c r="AE325" s="126"/>
      <c r="AF325" s="126"/>
      <c r="AG325" s="126"/>
      <c r="AH325" s="126"/>
      <c r="AI325" s="126"/>
      <c r="AJ325" s="746"/>
    </row>
    <row r="326" spans="1:36" s="45" customFormat="1" ht="45.75" customHeight="1">
      <c r="A326" s="103"/>
      <c r="B326" s="323">
        <v>2</v>
      </c>
      <c r="C326" s="118"/>
      <c r="D326" s="327">
        <v>1</v>
      </c>
      <c r="E326" s="22"/>
      <c r="F326" s="690"/>
      <c r="G326" s="866" t="s">
        <v>330</v>
      </c>
      <c r="H326" s="867"/>
      <c r="I326" s="868"/>
      <c r="J326" s="105"/>
      <c r="K326" s="105"/>
      <c r="L326" s="105"/>
      <c r="M326" s="105"/>
      <c r="N326" s="105"/>
      <c r="O326" s="105"/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  <c r="AF326" s="105"/>
      <c r="AG326" s="105"/>
      <c r="AH326" s="105"/>
      <c r="AI326" s="105"/>
      <c r="AJ326" s="732"/>
    </row>
    <row r="327" spans="1:36" s="45" customFormat="1" ht="29.25" customHeight="1">
      <c r="A327" s="103"/>
      <c r="B327" s="323"/>
      <c r="C327" s="118">
        <v>1</v>
      </c>
      <c r="D327" s="324"/>
      <c r="E327" s="22" t="s">
        <v>199</v>
      </c>
      <c r="F327" s="690"/>
      <c r="G327" s="690"/>
      <c r="H327" s="858" t="s">
        <v>227</v>
      </c>
      <c r="I327" s="859"/>
      <c r="J327" s="105">
        <v>85440000</v>
      </c>
      <c r="K327" s="105"/>
      <c r="L327" s="105">
        <f>SUM(J327:K327)</f>
        <v>85440000</v>
      </c>
      <c r="M327" s="105"/>
      <c r="N327" s="105"/>
      <c r="O327" s="105"/>
      <c r="P327" s="105"/>
      <c r="Q327" s="105"/>
      <c r="R327" s="105"/>
      <c r="S327" s="105">
        <f t="shared" ref="S327:S328" si="347">SUM(M327:R327)</f>
        <v>0</v>
      </c>
      <c r="T327" s="105">
        <f t="shared" ref="T327:T328" si="348">S327+L327</f>
        <v>85440000</v>
      </c>
      <c r="U327" s="105"/>
      <c r="V327" s="105"/>
      <c r="W327" s="105"/>
      <c r="X327" s="105"/>
      <c r="Y327" s="105"/>
      <c r="Z327" s="105">
        <f>SUM(U327:Y327)</f>
        <v>0</v>
      </c>
      <c r="AA327" s="105">
        <f>Z327+T327</f>
        <v>85440000</v>
      </c>
      <c r="AB327" s="105"/>
      <c r="AC327" s="105"/>
      <c r="AD327" s="105"/>
      <c r="AE327" s="105"/>
      <c r="AF327" s="105"/>
      <c r="AG327" s="105">
        <f>SUM(AB327:AF327)</f>
        <v>0</v>
      </c>
      <c r="AH327" s="105">
        <f t="shared" ref="AH327:AH328" si="349">AG327+AA327</f>
        <v>85440000</v>
      </c>
      <c r="AI327" s="105">
        <v>85440000</v>
      </c>
      <c r="AJ327" s="732">
        <f>AI327/AH327*100</f>
        <v>100</v>
      </c>
    </row>
    <row r="328" spans="1:36" s="45" customFormat="1" ht="18.5" customHeight="1">
      <c r="A328" s="103"/>
      <c r="B328" s="323"/>
      <c r="C328" s="118">
        <v>2</v>
      </c>
      <c r="D328" s="324"/>
      <c r="E328" s="22" t="s">
        <v>199</v>
      </c>
      <c r="F328" s="690"/>
      <c r="G328" s="690"/>
      <c r="H328" s="689" t="s">
        <v>228</v>
      </c>
      <c r="J328" s="105">
        <v>55553000</v>
      </c>
      <c r="K328" s="105"/>
      <c r="L328" s="105">
        <f>SUM(J328:K328)</f>
        <v>55553000</v>
      </c>
      <c r="M328" s="105"/>
      <c r="N328" s="105"/>
      <c r="O328" s="105"/>
      <c r="P328" s="105"/>
      <c r="Q328" s="105"/>
      <c r="R328" s="105"/>
      <c r="S328" s="105">
        <f t="shared" si="347"/>
        <v>0</v>
      </c>
      <c r="T328" s="105">
        <f t="shared" si="348"/>
        <v>55553000</v>
      </c>
      <c r="U328" s="105">
        <v>3001000</v>
      </c>
      <c r="V328" s="105"/>
      <c r="W328" s="105"/>
      <c r="X328" s="105"/>
      <c r="Y328" s="105"/>
      <c r="Z328" s="105">
        <f>SUM(U328:Y328)</f>
        <v>3001000</v>
      </c>
      <c r="AA328" s="105">
        <f>Z328+T328</f>
        <v>58554000</v>
      </c>
      <c r="AB328" s="105"/>
      <c r="AC328" s="105"/>
      <c r="AD328" s="105"/>
      <c r="AE328" s="105"/>
      <c r="AF328" s="105"/>
      <c r="AG328" s="105">
        <f>SUM(AB328:AF328)</f>
        <v>0</v>
      </c>
      <c r="AH328" s="105">
        <f t="shared" si="349"/>
        <v>58554000</v>
      </c>
      <c r="AI328" s="105">
        <v>58554000</v>
      </c>
      <c r="AJ328" s="732">
        <f>AI328/AH328*100</f>
        <v>100</v>
      </c>
    </row>
    <row r="329" spans="1:36" s="45" customFormat="1" ht="18.5" customHeight="1">
      <c r="A329" s="103"/>
      <c r="B329" s="323"/>
      <c r="C329" s="118"/>
      <c r="D329" s="324"/>
      <c r="E329" s="22"/>
      <c r="F329" s="690"/>
      <c r="G329" s="690"/>
      <c r="I329" s="684"/>
      <c r="J329" s="105"/>
      <c r="K329" s="105"/>
      <c r="L329" s="105"/>
      <c r="M329" s="105"/>
      <c r="N329" s="105"/>
      <c r="O329" s="105"/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  <c r="AF329" s="105"/>
      <c r="AG329" s="105"/>
      <c r="AH329" s="105"/>
      <c r="AI329" s="105"/>
      <c r="AJ329" s="732"/>
    </row>
    <row r="330" spans="1:36" s="45" customFormat="1" ht="18.5" customHeight="1">
      <c r="A330" s="103"/>
      <c r="B330" s="323"/>
      <c r="C330" s="118"/>
      <c r="D330" s="324"/>
      <c r="E330" s="22"/>
      <c r="F330" s="860" t="s">
        <v>38</v>
      </c>
      <c r="G330" s="861"/>
      <c r="H330" s="861"/>
      <c r="I330" s="862"/>
      <c r="J330" s="333">
        <f>SUM(J327:J328)</f>
        <v>140993000</v>
      </c>
      <c r="K330" s="333"/>
      <c r="L330" s="333">
        <f>SUM(L327:L329)</f>
        <v>140993000</v>
      </c>
      <c r="M330" s="333">
        <f t="shared" ref="M330:U330" si="350">SUM(M327:M329)</f>
        <v>0</v>
      </c>
      <c r="N330" s="333">
        <f t="shared" si="350"/>
        <v>0</v>
      </c>
      <c r="O330" s="333">
        <f t="shared" si="350"/>
        <v>0</v>
      </c>
      <c r="P330" s="333">
        <f t="shared" si="350"/>
        <v>0</v>
      </c>
      <c r="Q330" s="333">
        <f t="shared" si="350"/>
        <v>0</v>
      </c>
      <c r="R330" s="333">
        <f t="shared" si="350"/>
        <v>0</v>
      </c>
      <c r="S330" s="333">
        <f t="shared" si="350"/>
        <v>0</v>
      </c>
      <c r="T330" s="333">
        <f t="shared" si="350"/>
        <v>140993000</v>
      </c>
      <c r="U330" s="333">
        <f t="shared" si="350"/>
        <v>3001000</v>
      </c>
      <c r="V330" s="333"/>
      <c r="W330" s="333"/>
      <c r="X330" s="333"/>
      <c r="Y330" s="333"/>
      <c r="Z330" s="333">
        <f t="shared" ref="Z330:AB330" si="351">SUM(Z327:Z329)</f>
        <v>3001000</v>
      </c>
      <c r="AA330" s="333">
        <f t="shared" si="351"/>
        <v>143994000</v>
      </c>
      <c r="AB330" s="333">
        <f t="shared" si="351"/>
        <v>0</v>
      </c>
      <c r="AC330" s="333"/>
      <c r="AD330" s="333"/>
      <c r="AE330" s="333"/>
      <c r="AF330" s="333"/>
      <c r="AG330" s="333">
        <f t="shared" ref="AG330:AI330" si="352">SUM(AG327:AG329)</f>
        <v>0</v>
      </c>
      <c r="AH330" s="333">
        <f t="shared" si="352"/>
        <v>143994000</v>
      </c>
      <c r="AI330" s="333">
        <f t="shared" si="352"/>
        <v>143994000</v>
      </c>
      <c r="AJ330" s="740">
        <f>AI330/AH330*100</f>
        <v>100</v>
      </c>
    </row>
    <row r="331" spans="1:36" s="45" customFormat="1" ht="18.5" customHeight="1">
      <c r="A331" s="103"/>
      <c r="B331" s="323"/>
      <c r="C331" s="118"/>
      <c r="D331" s="324"/>
      <c r="E331" s="22"/>
      <c r="F331" s="202"/>
      <c r="G331" s="202"/>
      <c r="H331" s="202"/>
      <c r="I331" s="202"/>
      <c r="J331" s="126"/>
      <c r="K331" s="126"/>
      <c r="L331" s="126"/>
      <c r="M331" s="126"/>
      <c r="N331" s="126"/>
      <c r="O331" s="126"/>
      <c r="P331" s="126"/>
      <c r="Q331" s="126"/>
      <c r="R331" s="126"/>
      <c r="S331" s="126"/>
      <c r="T331" s="126"/>
      <c r="U331" s="126"/>
      <c r="V331" s="126"/>
      <c r="W331" s="126"/>
      <c r="X331" s="126"/>
      <c r="Y331" s="126"/>
      <c r="Z331" s="126"/>
      <c r="AA331" s="126"/>
      <c r="AB331" s="126"/>
      <c r="AC331" s="126"/>
      <c r="AD331" s="126"/>
      <c r="AE331" s="126"/>
      <c r="AF331" s="126"/>
      <c r="AG331" s="126"/>
      <c r="AH331" s="126"/>
      <c r="AI331" s="126"/>
      <c r="AJ331" s="746"/>
    </row>
    <row r="332" spans="1:36" s="45" customFormat="1" ht="18.5" customHeight="1">
      <c r="A332" s="103"/>
      <c r="B332" s="323">
        <v>3</v>
      </c>
      <c r="C332" s="118"/>
      <c r="D332" s="327">
        <v>1</v>
      </c>
      <c r="E332" s="22"/>
      <c r="F332" s="202"/>
      <c r="G332" s="866" t="s">
        <v>426</v>
      </c>
      <c r="H332" s="867"/>
      <c r="I332" s="868"/>
      <c r="J332" s="126"/>
      <c r="K332" s="126"/>
      <c r="L332" s="126"/>
      <c r="M332" s="126"/>
      <c r="N332" s="126"/>
      <c r="O332" s="126"/>
      <c r="P332" s="126"/>
      <c r="Q332" s="126"/>
      <c r="R332" s="126"/>
      <c r="S332" s="126"/>
      <c r="T332" s="126"/>
      <c r="U332" s="126"/>
      <c r="V332" s="126"/>
      <c r="W332" s="126"/>
      <c r="X332" s="126"/>
      <c r="Y332" s="126"/>
      <c r="Z332" s="126"/>
      <c r="AA332" s="126"/>
      <c r="AB332" s="126"/>
      <c r="AC332" s="126"/>
      <c r="AD332" s="126"/>
      <c r="AE332" s="126"/>
      <c r="AF332" s="126"/>
      <c r="AG332" s="126"/>
      <c r="AH332" s="126"/>
      <c r="AI332" s="126"/>
      <c r="AJ332" s="746"/>
    </row>
    <row r="333" spans="1:36" s="45" customFormat="1" ht="25" customHeight="1">
      <c r="A333" s="103"/>
      <c r="B333" s="323"/>
      <c r="C333" s="118">
        <v>1</v>
      </c>
      <c r="D333" s="324"/>
      <c r="E333" s="22" t="s">
        <v>199</v>
      </c>
      <c r="F333" s="690"/>
      <c r="G333" s="690"/>
      <c r="H333" s="858" t="s">
        <v>427</v>
      </c>
      <c r="I333" s="859"/>
      <c r="J333" s="105">
        <v>206796000</v>
      </c>
      <c r="K333" s="105"/>
      <c r="L333" s="105">
        <f>SUM(J333:K333)</f>
        <v>206796000</v>
      </c>
      <c r="M333" s="105"/>
      <c r="N333" s="105"/>
      <c r="O333" s="105"/>
      <c r="P333" s="105"/>
      <c r="Q333" s="105"/>
      <c r="R333" s="105"/>
      <c r="S333" s="105">
        <f t="shared" ref="S333:S335" si="353">SUM(M333:R333)</f>
        <v>0</v>
      </c>
      <c r="T333" s="105">
        <f t="shared" ref="T333:T335" si="354">S333+L333</f>
        <v>206796000</v>
      </c>
      <c r="U333" s="105"/>
      <c r="V333" s="105"/>
      <c r="W333" s="105"/>
      <c r="X333" s="105"/>
      <c r="Y333" s="105"/>
      <c r="Z333" s="105">
        <f>SUM(U333:Y333)</f>
        <v>0</v>
      </c>
      <c r="AA333" s="105">
        <f>Z333+T333</f>
        <v>206796000</v>
      </c>
      <c r="AB333" s="105"/>
      <c r="AC333" s="105"/>
      <c r="AD333" s="105"/>
      <c r="AE333" s="105"/>
      <c r="AF333" s="105"/>
      <c r="AG333" s="105">
        <f>SUM(AB333:AF333)</f>
        <v>0</v>
      </c>
      <c r="AH333" s="105">
        <f t="shared" ref="AH333:AH335" si="355">AG333+AA333</f>
        <v>206796000</v>
      </c>
      <c r="AI333" s="105">
        <v>206796000</v>
      </c>
      <c r="AJ333" s="732">
        <f>AI333/AH333*100</f>
        <v>100</v>
      </c>
    </row>
    <row r="334" spans="1:36" s="45" customFormat="1" ht="14">
      <c r="A334" s="103"/>
      <c r="B334" s="323"/>
      <c r="C334" s="118">
        <v>2</v>
      </c>
      <c r="D334" s="324"/>
      <c r="E334" s="22" t="s">
        <v>199</v>
      </c>
      <c r="F334" s="690"/>
      <c r="G334" s="690"/>
      <c r="H334" s="689" t="s">
        <v>428</v>
      </c>
      <c r="J334" s="105">
        <v>188313465</v>
      </c>
      <c r="K334" s="105"/>
      <c r="L334" s="105">
        <f>SUM(J334:K334)</f>
        <v>188313465</v>
      </c>
      <c r="M334" s="105"/>
      <c r="N334" s="105"/>
      <c r="O334" s="105"/>
      <c r="P334" s="105"/>
      <c r="Q334" s="105"/>
      <c r="R334" s="105"/>
      <c r="S334" s="105">
        <f t="shared" si="353"/>
        <v>0</v>
      </c>
      <c r="T334" s="105">
        <f t="shared" si="354"/>
        <v>188313465</v>
      </c>
      <c r="U334" s="105"/>
      <c r="V334" s="105"/>
      <c r="W334" s="105"/>
      <c r="X334" s="105"/>
      <c r="Y334" s="105"/>
      <c r="Z334" s="105">
        <f>SUM(U334:Y334)</f>
        <v>0</v>
      </c>
      <c r="AA334" s="105">
        <f>Z334+T334</f>
        <v>188313465</v>
      </c>
      <c r="AB334" s="105">
        <v>481639</v>
      </c>
      <c r="AC334" s="105"/>
      <c r="AD334" s="105"/>
      <c r="AE334" s="105"/>
      <c r="AF334" s="105"/>
      <c r="AG334" s="105">
        <f>SUM(AB334:AF334)</f>
        <v>481639</v>
      </c>
      <c r="AH334" s="105">
        <f t="shared" si="355"/>
        <v>188795104</v>
      </c>
      <c r="AI334" s="105">
        <v>188795104</v>
      </c>
      <c r="AJ334" s="732">
        <f>AI334/AH334*100</f>
        <v>100</v>
      </c>
    </row>
    <row r="335" spans="1:36" s="45" customFormat="1" ht="14">
      <c r="A335" s="103"/>
      <c r="B335" s="323"/>
      <c r="C335" s="118">
        <v>3</v>
      </c>
      <c r="D335" s="324"/>
      <c r="E335" s="22" t="s">
        <v>199</v>
      </c>
      <c r="F335" s="690"/>
      <c r="G335" s="690"/>
      <c r="H335" s="689" t="s">
        <v>527</v>
      </c>
      <c r="J335" s="105">
        <v>5138550</v>
      </c>
      <c r="K335" s="105"/>
      <c r="L335" s="105">
        <f>SUM(J335:K335)</f>
        <v>5138550</v>
      </c>
      <c r="M335" s="105"/>
      <c r="N335" s="105"/>
      <c r="O335" s="105"/>
      <c r="P335" s="105"/>
      <c r="Q335" s="105"/>
      <c r="R335" s="105"/>
      <c r="S335" s="105">
        <f t="shared" si="353"/>
        <v>0</v>
      </c>
      <c r="T335" s="105">
        <f t="shared" si="354"/>
        <v>5138550</v>
      </c>
      <c r="U335" s="105"/>
      <c r="V335" s="105"/>
      <c r="W335" s="105"/>
      <c r="X335" s="105"/>
      <c r="Y335" s="105"/>
      <c r="Z335" s="105">
        <f>SUM(U335:Y335)</f>
        <v>0</v>
      </c>
      <c r="AA335" s="105">
        <f>Z335+T335</f>
        <v>5138550</v>
      </c>
      <c r="AB335" s="105">
        <v>-2171700</v>
      </c>
      <c r="AC335" s="105"/>
      <c r="AD335" s="105"/>
      <c r="AE335" s="105"/>
      <c r="AF335" s="105"/>
      <c r="AG335" s="105">
        <f>SUM(AB335:AF335)</f>
        <v>-2171700</v>
      </c>
      <c r="AH335" s="105">
        <f t="shared" si="355"/>
        <v>2966850</v>
      </c>
      <c r="AI335" s="105">
        <v>4964814</v>
      </c>
      <c r="AJ335" s="732">
        <f>AI335/AH335*100</f>
        <v>167.34293948126802</v>
      </c>
    </row>
    <row r="336" spans="1:36" s="45" customFormat="1" ht="15" customHeight="1">
      <c r="A336" s="103"/>
      <c r="B336" s="323"/>
      <c r="C336" s="118"/>
      <c r="D336" s="324"/>
      <c r="E336" s="22"/>
      <c r="F336" s="690"/>
      <c r="G336" s="690"/>
      <c r="I336" s="684"/>
      <c r="J336" s="105"/>
      <c r="K336" s="105"/>
      <c r="L336" s="105"/>
      <c r="M336" s="105"/>
      <c r="N336" s="105"/>
      <c r="O336" s="105"/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  <c r="AF336" s="105"/>
      <c r="AG336" s="105"/>
      <c r="AH336" s="105"/>
      <c r="AI336" s="105"/>
      <c r="AJ336" s="732"/>
    </row>
    <row r="337" spans="1:36" s="45" customFormat="1" ht="15" customHeight="1">
      <c r="A337" s="103"/>
      <c r="B337" s="323"/>
      <c r="C337" s="118"/>
      <c r="D337" s="324"/>
      <c r="E337" s="22"/>
      <c r="F337" s="860" t="s">
        <v>38</v>
      </c>
      <c r="G337" s="861"/>
      <c r="H337" s="861"/>
      <c r="I337" s="862"/>
      <c r="J337" s="333">
        <f>SUM(J333:J336)</f>
        <v>400248015</v>
      </c>
      <c r="K337" s="333"/>
      <c r="L337" s="333">
        <f>SUM(L333:L336)</f>
        <v>400248015</v>
      </c>
      <c r="M337" s="333">
        <f t="shared" ref="M337:T337" si="356">SUM(M333:M336)</f>
        <v>0</v>
      </c>
      <c r="N337" s="333">
        <f t="shared" si="356"/>
        <v>0</v>
      </c>
      <c r="O337" s="333">
        <f t="shared" si="356"/>
        <v>0</v>
      </c>
      <c r="P337" s="333">
        <f t="shared" si="356"/>
        <v>0</v>
      </c>
      <c r="Q337" s="333">
        <f t="shared" si="356"/>
        <v>0</v>
      </c>
      <c r="R337" s="333">
        <f t="shared" si="356"/>
        <v>0</v>
      </c>
      <c r="S337" s="333">
        <f t="shared" si="356"/>
        <v>0</v>
      </c>
      <c r="T337" s="333">
        <f t="shared" si="356"/>
        <v>400248015</v>
      </c>
      <c r="U337" s="333"/>
      <c r="V337" s="333"/>
      <c r="W337" s="333"/>
      <c r="X337" s="333"/>
      <c r="Y337" s="333"/>
      <c r="Z337" s="333">
        <f t="shared" ref="Z337:AB337" si="357">SUM(Z333:Z336)</f>
        <v>0</v>
      </c>
      <c r="AA337" s="333">
        <f t="shared" si="357"/>
        <v>400248015</v>
      </c>
      <c r="AB337" s="333">
        <f t="shared" si="357"/>
        <v>-1690061</v>
      </c>
      <c r="AC337" s="333"/>
      <c r="AD337" s="333"/>
      <c r="AE337" s="333"/>
      <c r="AF337" s="333"/>
      <c r="AG337" s="333">
        <f t="shared" ref="AG337:AI337" si="358">SUM(AG333:AG336)</f>
        <v>-1690061</v>
      </c>
      <c r="AH337" s="333">
        <f t="shared" si="358"/>
        <v>398557954</v>
      </c>
      <c r="AI337" s="333">
        <f t="shared" si="358"/>
        <v>400555918</v>
      </c>
      <c r="AJ337" s="740">
        <f>AI337/AH337*100</f>
        <v>100.50129823779655</v>
      </c>
    </row>
    <row r="338" spans="1:36" s="45" customFormat="1" ht="15" customHeight="1">
      <c r="A338" s="273"/>
      <c r="B338" s="323"/>
      <c r="C338" s="118"/>
      <c r="D338" s="334"/>
      <c r="E338" s="155"/>
      <c r="F338" s="202"/>
      <c r="G338" s="202"/>
      <c r="H338" s="202"/>
      <c r="I338" s="202"/>
      <c r="J338" s="205"/>
      <c r="K338" s="205"/>
      <c r="L338" s="205"/>
      <c r="M338" s="205"/>
      <c r="N338" s="205"/>
      <c r="O338" s="205"/>
      <c r="P338" s="205"/>
      <c r="Q338" s="205"/>
      <c r="R338" s="205"/>
      <c r="S338" s="205"/>
      <c r="T338" s="205"/>
      <c r="U338" s="205"/>
      <c r="V338" s="205"/>
      <c r="W338" s="205"/>
      <c r="X338" s="205"/>
      <c r="Y338" s="205"/>
      <c r="Z338" s="205"/>
      <c r="AA338" s="205"/>
      <c r="AB338" s="205"/>
      <c r="AC338" s="205"/>
      <c r="AD338" s="205"/>
      <c r="AE338" s="205"/>
      <c r="AF338" s="205"/>
      <c r="AG338" s="205"/>
      <c r="AH338" s="205"/>
      <c r="AI338" s="205"/>
      <c r="AJ338" s="747"/>
    </row>
    <row r="339" spans="1:36" s="45" customFormat="1" ht="15" customHeight="1">
      <c r="A339" s="273"/>
      <c r="B339" s="323">
        <v>4</v>
      </c>
      <c r="C339" s="118"/>
      <c r="D339" s="334">
        <v>1</v>
      </c>
      <c r="E339" s="155"/>
      <c r="F339" s="202"/>
      <c r="G339" s="41" t="s">
        <v>491</v>
      </c>
      <c r="H339" s="202"/>
      <c r="I339" s="202"/>
      <c r="J339" s="205"/>
      <c r="K339" s="205"/>
      <c r="L339" s="205"/>
      <c r="M339" s="205"/>
      <c r="N339" s="205"/>
      <c r="O339" s="205"/>
      <c r="P339" s="205"/>
      <c r="Q339" s="205"/>
      <c r="R339" s="205"/>
      <c r="S339" s="205"/>
      <c r="T339" s="205"/>
      <c r="U339" s="205"/>
      <c r="V339" s="205"/>
      <c r="W339" s="205"/>
      <c r="X339" s="205"/>
      <c r="Y339" s="205"/>
      <c r="Z339" s="205"/>
      <c r="AA339" s="205"/>
      <c r="AB339" s="205"/>
      <c r="AC339" s="205"/>
      <c r="AD339" s="205"/>
      <c r="AE339" s="205"/>
      <c r="AF339" s="205"/>
      <c r="AG339" s="205"/>
      <c r="AH339" s="205"/>
      <c r="AI339" s="205"/>
      <c r="AJ339" s="747"/>
    </row>
    <row r="340" spans="1:36" s="45" customFormat="1" ht="15" customHeight="1">
      <c r="A340" s="273"/>
      <c r="B340" s="323"/>
      <c r="C340" s="118">
        <v>1</v>
      </c>
      <c r="D340" s="334"/>
      <c r="E340" s="155" t="s">
        <v>199</v>
      </c>
      <c r="F340" s="202"/>
      <c r="G340" s="202"/>
      <c r="H340" s="335" t="s">
        <v>492</v>
      </c>
      <c r="I340" s="202"/>
      <c r="J340" s="220">
        <v>179243500</v>
      </c>
      <c r="K340" s="220"/>
      <c r="L340" s="220">
        <f>SUM(J340:K340)</f>
        <v>179243500</v>
      </c>
      <c r="M340" s="220"/>
      <c r="N340" s="220"/>
      <c r="O340" s="220"/>
      <c r="P340" s="220"/>
      <c r="Q340" s="220"/>
      <c r="R340" s="220"/>
      <c r="S340" s="105">
        <f t="shared" ref="S340" si="359">SUM(M340:R340)</f>
        <v>0</v>
      </c>
      <c r="T340" s="105">
        <f t="shared" ref="T340" si="360">S340+L340</f>
        <v>179243500</v>
      </c>
      <c r="U340" s="220"/>
      <c r="V340" s="220"/>
      <c r="W340" s="220"/>
      <c r="X340" s="220"/>
      <c r="Y340" s="220"/>
      <c r="Z340" s="105">
        <f>SUM(U340:Y340)</f>
        <v>0</v>
      </c>
      <c r="AA340" s="105">
        <f>Z340+T340</f>
        <v>179243500</v>
      </c>
      <c r="AB340" s="220"/>
      <c r="AC340" s="220"/>
      <c r="AD340" s="220"/>
      <c r="AE340" s="220"/>
      <c r="AF340" s="220"/>
      <c r="AG340" s="105">
        <f>SUM(AB340:AF340)</f>
        <v>0</v>
      </c>
      <c r="AH340" s="105">
        <f t="shared" ref="AH340:AH341" si="361">AG340+AA340</f>
        <v>179243500</v>
      </c>
      <c r="AI340" s="105">
        <v>179243500</v>
      </c>
      <c r="AJ340" s="732">
        <f>AI340/AH340*100</f>
        <v>100</v>
      </c>
    </row>
    <row r="341" spans="1:36" s="45" customFormat="1" ht="15" customHeight="1">
      <c r="A341" s="273"/>
      <c r="B341" s="647"/>
      <c r="C341" s="648">
        <v>2</v>
      </c>
      <c r="D341" s="331"/>
      <c r="E341" s="155" t="s">
        <v>199</v>
      </c>
      <c r="F341" s="202"/>
      <c r="G341" s="202"/>
      <c r="H341" s="335" t="s">
        <v>662</v>
      </c>
      <c r="I341" s="202"/>
      <c r="J341" s="220"/>
      <c r="K341" s="220"/>
      <c r="L341" s="220"/>
      <c r="M341" s="220"/>
      <c r="N341" s="220"/>
      <c r="O341" s="220"/>
      <c r="P341" s="220"/>
      <c r="Q341" s="220"/>
      <c r="R341" s="220"/>
      <c r="S341" s="156"/>
      <c r="T341" s="156"/>
      <c r="U341" s="220">
        <v>43843000</v>
      </c>
      <c r="V341" s="220"/>
      <c r="W341" s="220"/>
      <c r="X341" s="220"/>
      <c r="Y341" s="220"/>
      <c r="Z341" s="105">
        <f>SUM(U341:Y341)</f>
        <v>43843000</v>
      </c>
      <c r="AA341" s="105">
        <f>Z341+T341</f>
        <v>43843000</v>
      </c>
      <c r="AB341" s="220"/>
      <c r="AC341" s="220"/>
      <c r="AD341" s="220"/>
      <c r="AE341" s="220"/>
      <c r="AF341" s="220"/>
      <c r="AG341" s="105">
        <f>SUM(AB341:AF341)</f>
        <v>0</v>
      </c>
      <c r="AH341" s="105">
        <f t="shared" si="361"/>
        <v>43843000</v>
      </c>
      <c r="AI341" s="105">
        <v>43843000</v>
      </c>
      <c r="AJ341" s="732">
        <f>AI341/AH341*100</f>
        <v>100</v>
      </c>
    </row>
    <row r="342" spans="1:36" s="45" customFormat="1" ht="7" customHeight="1">
      <c r="A342" s="273"/>
      <c r="B342" s="323"/>
      <c r="C342" s="118"/>
      <c r="D342" s="334"/>
      <c r="E342" s="155"/>
      <c r="F342" s="202"/>
      <c r="G342" s="202"/>
      <c r="H342" s="202"/>
      <c r="I342" s="202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  <c r="AJ342" s="748"/>
    </row>
    <row r="343" spans="1:36" s="45" customFormat="1" ht="15" customHeight="1">
      <c r="A343" s="103"/>
      <c r="B343" s="323"/>
      <c r="C343" s="118"/>
      <c r="D343" s="324"/>
      <c r="E343" s="22"/>
      <c r="F343" s="860" t="s">
        <v>38</v>
      </c>
      <c r="G343" s="861"/>
      <c r="H343" s="861"/>
      <c r="I343" s="862"/>
      <c r="J343" s="333">
        <f>SUM(J338:J342)</f>
        <v>179243500</v>
      </c>
      <c r="K343" s="333"/>
      <c r="L343" s="333">
        <f>SUM(L340:L342)</f>
        <v>179243500</v>
      </c>
      <c r="M343" s="333">
        <f t="shared" ref="M343:U343" si="362">SUM(M340:M342)</f>
        <v>0</v>
      </c>
      <c r="N343" s="333">
        <f t="shared" si="362"/>
        <v>0</v>
      </c>
      <c r="O343" s="333">
        <f t="shared" si="362"/>
        <v>0</v>
      </c>
      <c r="P343" s="333">
        <f t="shared" si="362"/>
        <v>0</v>
      </c>
      <c r="Q343" s="333">
        <f t="shared" si="362"/>
        <v>0</v>
      </c>
      <c r="R343" s="333">
        <f t="shared" si="362"/>
        <v>0</v>
      </c>
      <c r="S343" s="333">
        <f t="shared" si="362"/>
        <v>0</v>
      </c>
      <c r="T343" s="333">
        <f t="shared" si="362"/>
        <v>179243500</v>
      </c>
      <c r="U343" s="333">
        <f t="shared" si="362"/>
        <v>43843000</v>
      </c>
      <c r="V343" s="333"/>
      <c r="W343" s="333"/>
      <c r="X343" s="333"/>
      <c r="Y343" s="333"/>
      <c r="Z343" s="333">
        <f t="shared" ref="Z343:AB343" si="363">SUM(Z340:Z342)</f>
        <v>43843000</v>
      </c>
      <c r="AA343" s="333">
        <f t="shared" si="363"/>
        <v>223086500</v>
      </c>
      <c r="AB343" s="333">
        <f t="shared" si="363"/>
        <v>0</v>
      </c>
      <c r="AC343" s="333"/>
      <c r="AD343" s="333"/>
      <c r="AE343" s="333"/>
      <c r="AF343" s="333"/>
      <c r="AG343" s="333">
        <f t="shared" ref="AG343:AI343" si="364">SUM(AG340:AG342)</f>
        <v>0</v>
      </c>
      <c r="AH343" s="333">
        <f t="shared" si="364"/>
        <v>223086500</v>
      </c>
      <c r="AI343" s="333">
        <f t="shared" si="364"/>
        <v>223086500</v>
      </c>
      <c r="AJ343" s="740">
        <f>AI343/AH343*100</f>
        <v>100</v>
      </c>
    </row>
    <row r="344" spans="1:36" s="45" customFormat="1" ht="14">
      <c r="A344" s="273"/>
      <c r="B344" s="323"/>
      <c r="C344" s="118"/>
      <c r="D344" s="334"/>
      <c r="E344" s="155"/>
      <c r="F344" s="202"/>
      <c r="G344" s="202"/>
      <c r="H344" s="202"/>
      <c r="I344" s="202"/>
      <c r="J344" s="205"/>
      <c r="K344" s="205"/>
      <c r="L344" s="205"/>
      <c r="M344" s="205"/>
      <c r="N344" s="205"/>
      <c r="O344" s="205"/>
      <c r="P344" s="205"/>
      <c r="Q344" s="205"/>
      <c r="R344" s="205"/>
      <c r="S344" s="205"/>
      <c r="T344" s="205"/>
      <c r="U344" s="205"/>
      <c r="V344" s="205"/>
      <c r="W344" s="205"/>
      <c r="X344" s="205"/>
      <c r="Y344" s="205"/>
      <c r="Z344" s="205"/>
      <c r="AA344" s="205"/>
      <c r="AB344" s="205"/>
      <c r="AC344" s="205"/>
      <c r="AD344" s="205"/>
      <c r="AE344" s="205"/>
      <c r="AF344" s="205"/>
      <c r="AG344" s="205"/>
      <c r="AH344" s="205"/>
      <c r="AI344" s="205"/>
      <c r="AJ344" s="747"/>
    </row>
    <row r="345" spans="1:36" s="45" customFormat="1" ht="15" customHeight="1">
      <c r="A345" s="273"/>
      <c r="B345" s="323">
        <v>5</v>
      </c>
      <c r="C345" s="118"/>
      <c r="D345" s="334">
        <v>1</v>
      </c>
      <c r="E345" s="155"/>
      <c r="F345" s="202"/>
      <c r="G345" s="41" t="s">
        <v>625</v>
      </c>
      <c r="H345" s="202"/>
      <c r="I345" s="202"/>
      <c r="J345" s="205"/>
      <c r="K345" s="205"/>
      <c r="L345" s="205"/>
      <c r="M345" s="205"/>
      <c r="N345" s="205"/>
      <c r="O345" s="205"/>
      <c r="P345" s="205"/>
      <c r="Q345" s="205"/>
      <c r="R345" s="205"/>
      <c r="S345" s="205"/>
      <c r="T345" s="205"/>
      <c r="U345" s="205"/>
      <c r="V345" s="205"/>
      <c r="W345" s="205"/>
      <c r="X345" s="205"/>
      <c r="Y345" s="205"/>
      <c r="Z345" s="205"/>
      <c r="AA345" s="205"/>
      <c r="AB345" s="205"/>
      <c r="AC345" s="205"/>
      <c r="AD345" s="205"/>
      <c r="AE345" s="205"/>
      <c r="AF345" s="205"/>
      <c r="AG345" s="205"/>
      <c r="AH345" s="205"/>
      <c r="AI345" s="205"/>
      <c r="AJ345" s="747"/>
    </row>
    <row r="346" spans="1:36" s="45" customFormat="1" ht="15" customHeight="1">
      <c r="A346" s="273"/>
      <c r="B346" s="323"/>
      <c r="C346" s="118">
        <v>1</v>
      </c>
      <c r="D346" s="334"/>
      <c r="E346" s="155" t="s">
        <v>199</v>
      </c>
      <c r="F346" s="202"/>
      <c r="G346" s="202"/>
      <c r="H346" s="335" t="s">
        <v>625</v>
      </c>
      <c r="I346" s="202"/>
      <c r="J346" s="220">
        <v>179243500</v>
      </c>
      <c r="K346" s="220"/>
      <c r="L346" s="220"/>
      <c r="M346" s="220"/>
      <c r="N346" s="220">
        <v>57985353</v>
      </c>
      <c r="O346" s="220"/>
      <c r="P346" s="220"/>
      <c r="Q346" s="220"/>
      <c r="R346" s="220"/>
      <c r="S346" s="105">
        <f t="shared" ref="S346" si="365">SUM(M346:R346)</f>
        <v>57985353</v>
      </c>
      <c r="T346" s="105">
        <f t="shared" ref="T346" si="366">S346+L346</f>
        <v>57985353</v>
      </c>
      <c r="U346" s="220">
        <v>28794470</v>
      </c>
      <c r="V346" s="220"/>
      <c r="W346" s="220"/>
      <c r="X346" s="220"/>
      <c r="Y346" s="220"/>
      <c r="Z346" s="105">
        <f>SUM(U346:Y346)</f>
        <v>28794470</v>
      </c>
      <c r="AA346" s="105">
        <f>Z346+T346</f>
        <v>86779823</v>
      </c>
      <c r="AB346" s="220">
        <v>29557244</v>
      </c>
      <c r="AC346" s="220"/>
      <c r="AD346" s="220"/>
      <c r="AE346" s="220"/>
      <c r="AF346" s="220"/>
      <c r="AG346" s="105">
        <f>SUM(AB346:AF346)</f>
        <v>29557244</v>
      </c>
      <c r="AH346" s="105">
        <f t="shared" ref="AH346" si="367">AG346+AA346</f>
        <v>116337067</v>
      </c>
      <c r="AI346" s="105">
        <v>116337067</v>
      </c>
      <c r="AJ346" s="732">
        <f>AI346/AH346*100</f>
        <v>100</v>
      </c>
    </row>
    <row r="347" spans="1:36" s="45" customFormat="1" ht="7.5" customHeight="1">
      <c r="A347" s="273"/>
      <c r="B347" s="323"/>
      <c r="C347" s="118"/>
      <c r="D347" s="334"/>
      <c r="E347" s="155"/>
      <c r="F347" s="202"/>
      <c r="G347" s="202"/>
      <c r="H347" s="202"/>
      <c r="I347" s="202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  <c r="AJ347" s="748"/>
    </row>
    <row r="348" spans="1:36" s="45" customFormat="1" ht="15" customHeight="1">
      <c r="A348" s="103"/>
      <c r="B348" s="323"/>
      <c r="C348" s="118"/>
      <c r="D348" s="324"/>
      <c r="E348" s="22"/>
      <c r="F348" s="860" t="s">
        <v>38</v>
      </c>
      <c r="G348" s="861"/>
      <c r="H348" s="861"/>
      <c r="I348" s="862"/>
      <c r="J348" s="333">
        <f>SUM(J344:J347)</f>
        <v>179243500</v>
      </c>
      <c r="K348" s="333"/>
      <c r="L348" s="333">
        <f>SUM(L346:L347)</f>
        <v>0</v>
      </c>
      <c r="M348" s="333">
        <f t="shared" ref="M348" si="368">SUM(M346:M347)</f>
        <v>0</v>
      </c>
      <c r="N348" s="333">
        <f t="shared" ref="N348" si="369">SUM(N346:N347)</f>
        <v>57985353</v>
      </c>
      <c r="O348" s="333">
        <f t="shared" ref="O348" si="370">SUM(O346:O347)</f>
        <v>0</v>
      </c>
      <c r="P348" s="333">
        <f t="shared" ref="P348" si="371">SUM(P346:P347)</f>
        <v>0</v>
      </c>
      <c r="Q348" s="333">
        <f t="shared" ref="Q348" si="372">SUM(Q346:Q347)</f>
        <v>0</v>
      </c>
      <c r="R348" s="333">
        <f t="shared" ref="R348" si="373">SUM(R346:R347)</f>
        <v>0</v>
      </c>
      <c r="S348" s="333">
        <f t="shared" ref="S348" si="374">SUM(S346:S347)</f>
        <v>57985353</v>
      </c>
      <c r="T348" s="333">
        <f t="shared" ref="T348:Z348" si="375">SUM(T346:T347)</f>
        <v>57985353</v>
      </c>
      <c r="U348" s="333">
        <f>SUM(U346:U347)</f>
        <v>28794470</v>
      </c>
      <c r="V348" s="333"/>
      <c r="W348" s="333"/>
      <c r="X348" s="333"/>
      <c r="Y348" s="333"/>
      <c r="Z348" s="333">
        <f t="shared" si="375"/>
        <v>28794470</v>
      </c>
      <c r="AA348" s="333">
        <f t="shared" ref="AA348" si="376">SUM(AA346:AA347)</f>
        <v>86779823</v>
      </c>
      <c r="AB348" s="333">
        <f>SUM(AB346:AB347)</f>
        <v>29557244</v>
      </c>
      <c r="AC348" s="333"/>
      <c r="AD348" s="333"/>
      <c r="AE348" s="333"/>
      <c r="AF348" s="333"/>
      <c r="AG348" s="333">
        <f t="shared" ref="AG348:AI348" si="377">SUM(AG346:AG347)</f>
        <v>29557244</v>
      </c>
      <c r="AH348" s="333">
        <f t="shared" si="377"/>
        <v>116337067</v>
      </c>
      <c r="AI348" s="333">
        <f t="shared" si="377"/>
        <v>116337067</v>
      </c>
      <c r="AJ348" s="740">
        <f>AI348/AH348*100</f>
        <v>100</v>
      </c>
    </row>
    <row r="349" spans="1:36" s="45" customFormat="1" ht="13.5" customHeight="1">
      <c r="A349" s="273"/>
      <c r="B349" s="323"/>
      <c r="C349" s="118"/>
      <c r="D349" s="334"/>
      <c r="E349" s="155"/>
      <c r="F349" s="202"/>
      <c r="G349" s="202"/>
      <c r="H349" s="202"/>
      <c r="I349" s="202"/>
      <c r="J349" s="205"/>
      <c r="K349" s="205"/>
      <c r="L349" s="205"/>
      <c r="M349" s="205"/>
      <c r="N349" s="205"/>
      <c r="O349" s="205"/>
      <c r="P349" s="205"/>
      <c r="Q349" s="205"/>
      <c r="R349" s="205"/>
      <c r="S349" s="205"/>
      <c r="T349" s="205"/>
      <c r="U349" s="205"/>
      <c r="V349" s="205"/>
      <c r="W349" s="205"/>
      <c r="X349" s="205"/>
      <c r="Y349" s="205"/>
      <c r="Z349" s="205"/>
      <c r="AA349" s="205"/>
      <c r="AB349" s="205"/>
      <c r="AC349" s="205"/>
      <c r="AD349" s="205"/>
      <c r="AE349" s="205"/>
      <c r="AF349" s="205"/>
      <c r="AG349" s="205"/>
      <c r="AH349" s="205"/>
      <c r="AI349" s="205"/>
      <c r="AJ349" s="747"/>
    </row>
    <row r="350" spans="1:36" s="45" customFormat="1" ht="13.5" customHeight="1">
      <c r="A350" s="273"/>
      <c r="B350" s="323">
        <v>6</v>
      </c>
      <c r="C350" s="118"/>
      <c r="D350" s="334">
        <v>1</v>
      </c>
      <c r="E350" s="155"/>
      <c r="F350" s="202"/>
      <c r="G350" s="41" t="s">
        <v>626</v>
      </c>
      <c r="H350" s="202"/>
      <c r="I350" s="202"/>
      <c r="J350" s="205"/>
      <c r="K350" s="205"/>
      <c r="L350" s="205"/>
      <c r="M350" s="205"/>
      <c r="N350" s="205"/>
      <c r="O350" s="205"/>
      <c r="P350" s="205"/>
      <c r="Q350" s="205"/>
      <c r="R350" s="205"/>
      <c r="S350" s="205"/>
      <c r="T350" s="205"/>
      <c r="U350" s="205"/>
      <c r="V350" s="205"/>
      <c r="W350" s="205"/>
      <c r="X350" s="205"/>
      <c r="Y350" s="205"/>
      <c r="Z350" s="205"/>
      <c r="AA350" s="205"/>
      <c r="AB350" s="205"/>
      <c r="AC350" s="205"/>
      <c r="AD350" s="205"/>
      <c r="AE350" s="205"/>
      <c r="AF350" s="205"/>
      <c r="AG350" s="205"/>
      <c r="AH350" s="205"/>
      <c r="AI350" s="205"/>
      <c r="AJ350" s="747"/>
    </row>
    <row r="351" spans="1:36" s="45" customFormat="1" ht="13.5" customHeight="1">
      <c r="A351" s="273"/>
      <c r="B351" s="323"/>
      <c r="C351" s="118">
        <v>1</v>
      </c>
      <c r="D351" s="334"/>
      <c r="E351" s="155" t="s">
        <v>199</v>
      </c>
      <c r="F351" s="202"/>
      <c r="G351" s="202"/>
      <c r="H351" s="335" t="s">
        <v>627</v>
      </c>
      <c r="I351" s="202"/>
      <c r="J351" s="220">
        <v>179243500</v>
      </c>
      <c r="K351" s="220"/>
      <c r="L351" s="220"/>
      <c r="M351" s="220"/>
      <c r="N351" s="220">
        <v>89950</v>
      </c>
      <c r="O351" s="220"/>
      <c r="P351" s="220"/>
      <c r="Q351" s="220"/>
      <c r="R351" s="220"/>
      <c r="S351" s="105">
        <f t="shared" ref="S351" si="378">SUM(M351:R351)</f>
        <v>89950</v>
      </c>
      <c r="T351" s="105">
        <f t="shared" ref="T351" si="379">S351+L351</f>
        <v>89950</v>
      </c>
      <c r="U351" s="220">
        <v>42521</v>
      </c>
      <c r="V351" s="220"/>
      <c r="W351" s="220"/>
      <c r="X351" s="220"/>
      <c r="Y351" s="220"/>
      <c r="Z351" s="105">
        <f>SUM(U351:Y351)</f>
        <v>42521</v>
      </c>
      <c r="AA351" s="105">
        <f>Z351+T351</f>
        <v>132471</v>
      </c>
      <c r="AB351" s="220"/>
      <c r="AC351" s="220"/>
      <c r="AD351" s="220"/>
      <c r="AE351" s="220"/>
      <c r="AF351" s="220"/>
      <c r="AG351" s="105">
        <f>SUM(AB351:AF351)</f>
        <v>0</v>
      </c>
      <c r="AH351" s="105">
        <f t="shared" ref="AH351" si="380">AG351+AA351</f>
        <v>132471</v>
      </c>
      <c r="AI351" s="105">
        <v>132471</v>
      </c>
      <c r="AJ351" s="732">
        <f>AI351/AH351*100</f>
        <v>100</v>
      </c>
    </row>
    <row r="352" spans="1:36" s="45" customFormat="1" ht="7" customHeight="1">
      <c r="A352" s="273"/>
      <c r="B352" s="323"/>
      <c r="C352" s="118"/>
      <c r="D352" s="334"/>
      <c r="E352" s="155"/>
      <c r="F352" s="202"/>
      <c r="G352" s="202"/>
      <c r="H352" s="202"/>
      <c r="I352" s="202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  <c r="AJ352" s="748"/>
    </row>
    <row r="353" spans="1:36" s="45" customFormat="1" ht="13.5" customHeight="1">
      <c r="A353" s="103"/>
      <c r="B353" s="323"/>
      <c r="C353" s="118"/>
      <c r="D353" s="324"/>
      <c r="E353" s="22"/>
      <c r="F353" s="860" t="s">
        <v>38</v>
      </c>
      <c r="G353" s="861"/>
      <c r="H353" s="861"/>
      <c r="I353" s="862"/>
      <c r="J353" s="333">
        <f>SUM(J349:J352)</f>
        <v>179243500</v>
      </c>
      <c r="K353" s="333"/>
      <c r="L353" s="333">
        <f>SUM(L351:L352)</f>
        <v>0</v>
      </c>
      <c r="M353" s="333">
        <f t="shared" ref="M353" si="381">SUM(M351:M352)</f>
        <v>0</v>
      </c>
      <c r="N353" s="333">
        <f t="shared" ref="N353" si="382">SUM(N351:N352)</f>
        <v>89950</v>
      </c>
      <c r="O353" s="333">
        <f t="shared" ref="O353" si="383">SUM(O351:O352)</f>
        <v>0</v>
      </c>
      <c r="P353" s="333">
        <f t="shared" ref="P353" si="384">SUM(P351:P352)</f>
        <v>0</v>
      </c>
      <c r="Q353" s="333">
        <f t="shared" ref="Q353" si="385">SUM(Q351:Q352)</f>
        <v>0</v>
      </c>
      <c r="R353" s="333">
        <f t="shared" ref="R353" si="386">SUM(R351:R352)</f>
        <v>0</v>
      </c>
      <c r="S353" s="333">
        <f t="shared" ref="S353" si="387">SUM(S351:S352)</f>
        <v>89950</v>
      </c>
      <c r="T353" s="333">
        <f t="shared" ref="T353:Z353" si="388">SUM(T351:T352)</f>
        <v>89950</v>
      </c>
      <c r="U353" s="333">
        <f t="shared" si="388"/>
        <v>42521</v>
      </c>
      <c r="V353" s="333"/>
      <c r="W353" s="333"/>
      <c r="X353" s="333"/>
      <c r="Y353" s="333"/>
      <c r="Z353" s="333">
        <f t="shared" si="388"/>
        <v>42521</v>
      </c>
      <c r="AA353" s="333">
        <f t="shared" ref="AA353:AB353" si="389">SUM(AA351:AA352)</f>
        <v>132471</v>
      </c>
      <c r="AB353" s="333">
        <f t="shared" si="389"/>
        <v>0</v>
      </c>
      <c r="AC353" s="333"/>
      <c r="AD353" s="333"/>
      <c r="AE353" s="333"/>
      <c r="AF353" s="333"/>
      <c r="AG353" s="333">
        <f t="shared" ref="AG353:AH353" si="390">SUM(AG351:AG352)</f>
        <v>0</v>
      </c>
      <c r="AH353" s="333">
        <f t="shared" si="390"/>
        <v>132471</v>
      </c>
      <c r="AI353" s="333">
        <f t="shared" ref="AI353" si="391">SUM(AI351:AI352)</f>
        <v>132471</v>
      </c>
      <c r="AJ353" s="740">
        <f>AI353/AH353*100</f>
        <v>100</v>
      </c>
    </row>
    <row r="354" spans="1:36" s="45" customFormat="1" ht="7.5" customHeight="1">
      <c r="A354" s="103"/>
      <c r="B354" s="323"/>
      <c r="C354" s="118"/>
      <c r="D354" s="324"/>
      <c r="E354" s="22"/>
      <c r="F354" s="41"/>
      <c r="G354" s="41"/>
      <c r="H354" s="66"/>
      <c r="I354" s="41"/>
      <c r="J354" s="126"/>
      <c r="K354" s="126"/>
      <c r="L354" s="126"/>
      <c r="M354" s="126"/>
      <c r="N354" s="126"/>
      <c r="O354" s="126"/>
      <c r="P354" s="126"/>
      <c r="Q354" s="126"/>
      <c r="R354" s="126"/>
      <c r="S354" s="126"/>
      <c r="T354" s="126"/>
      <c r="U354" s="126"/>
      <c r="V354" s="126"/>
      <c r="W354" s="126"/>
      <c r="X354" s="126"/>
      <c r="Y354" s="126"/>
      <c r="Z354" s="126"/>
      <c r="AA354" s="126"/>
      <c r="AB354" s="126"/>
      <c r="AC354" s="126"/>
      <c r="AD354" s="126"/>
      <c r="AE354" s="126"/>
      <c r="AF354" s="126"/>
      <c r="AG354" s="126"/>
      <c r="AH354" s="126"/>
      <c r="AI354" s="126"/>
      <c r="AJ354" s="746"/>
    </row>
    <row r="355" spans="1:36" s="45" customFormat="1" ht="13.5" customHeight="1">
      <c r="A355" s="103"/>
      <c r="B355" s="323"/>
      <c r="C355" s="118"/>
      <c r="D355" s="324"/>
      <c r="E355" s="22"/>
      <c r="F355" s="20" t="s">
        <v>37</v>
      </c>
      <c r="G355" s="20"/>
      <c r="H355" s="4"/>
      <c r="I355" s="5"/>
      <c r="J355" s="101">
        <f t="shared" ref="J355:U355" si="392">SUM(J312:J354)/2</f>
        <v>1289239515</v>
      </c>
      <c r="K355" s="101">
        <f t="shared" si="392"/>
        <v>0</v>
      </c>
      <c r="L355" s="101">
        <f t="shared" si="392"/>
        <v>930752515</v>
      </c>
      <c r="M355" s="101">
        <f t="shared" si="392"/>
        <v>0</v>
      </c>
      <c r="N355" s="101">
        <f t="shared" si="392"/>
        <v>58075303</v>
      </c>
      <c r="O355" s="101">
        <f t="shared" si="392"/>
        <v>0</v>
      </c>
      <c r="P355" s="101">
        <f t="shared" si="392"/>
        <v>0</v>
      </c>
      <c r="Q355" s="101">
        <f t="shared" si="392"/>
        <v>0</v>
      </c>
      <c r="R355" s="101">
        <f t="shared" si="392"/>
        <v>0</v>
      </c>
      <c r="S355" s="101">
        <f t="shared" si="392"/>
        <v>58075303</v>
      </c>
      <c r="T355" s="101">
        <f t="shared" si="392"/>
        <v>988827818</v>
      </c>
      <c r="U355" s="101">
        <f t="shared" si="392"/>
        <v>91685673</v>
      </c>
      <c r="V355" s="101"/>
      <c r="W355" s="101"/>
      <c r="X355" s="101"/>
      <c r="Y355" s="101"/>
      <c r="Z355" s="101">
        <f t="shared" ref="Z355:AB355" si="393">SUM(Z312:Z354)/2</f>
        <v>91685673</v>
      </c>
      <c r="AA355" s="101">
        <f t="shared" si="393"/>
        <v>1080513491</v>
      </c>
      <c r="AB355" s="101">
        <f t="shared" si="393"/>
        <v>27867183</v>
      </c>
      <c r="AC355" s="101"/>
      <c r="AD355" s="101"/>
      <c r="AE355" s="101"/>
      <c r="AF355" s="101"/>
      <c r="AG355" s="101">
        <f t="shared" ref="AG355:AH355" si="394">SUM(AG312:AG354)/2</f>
        <v>27867183</v>
      </c>
      <c r="AH355" s="101">
        <f t="shared" si="394"/>
        <v>1108380674</v>
      </c>
      <c r="AI355" s="101">
        <f t="shared" ref="AI355" si="395">SUM(AI312:AI354)/2</f>
        <v>1110378638</v>
      </c>
      <c r="AJ355" s="733">
        <f>AI355/AH355*100</f>
        <v>100.1802597290685</v>
      </c>
    </row>
    <row r="356" spans="1:36" s="45" customFormat="1" ht="12.5" customHeight="1">
      <c r="A356" s="103"/>
      <c r="B356" s="323"/>
      <c r="C356" s="118"/>
      <c r="D356" s="324"/>
      <c r="E356" s="22"/>
      <c r="F356" s="6"/>
      <c r="G356" s="6"/>
      <c r="H356" s="7"/>
      <c r="I356" s="8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734"/>
    </row>
    <row r="357" spans="1:36" s="45" customFormat="1" ht="14">
      <c r="A357" s="103">
        <v>4</v>
      </c>
      <c r="B357" s="323"/>
      <c r="C357" s="118"/>
      <c r="D357" s="327">
        <v>1</v>
      </c>
      <c r="E357" s="22"/>
      <c r="F357" s="863" t="s">
        <v>229</v>
      </c>
      <c r="G357" s="864"/>
      <c r="H357" s="864"/>
      <c r="I357" s="865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734"/>
    </row>
    <row r="358" spans="1:36" s="45" customFormat="1" ht="14">
      <c r="A358" s="103"/>
      <c r="B358" s="323">
        <v>1</v>
      </c>
      <c r="C358" s="118"/>
      <c r="D358" s="324"/>
      <c r="E358" s="22"/>
      <c r="F358" s="687"/>
      <c r="G358" s="869" t="s">
        <v>230</v>
      </c>
      <c r="H358" s="911"/>
      <c r="I358" s="912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734"/>
    </row>
    <row r="359" spans="1:36" s="45" customFormat="1" ht="14">
      <c r="A359" s="103"/>
      <c r="B359" s="323"/>
      <c r="C359" s="324">
        <v>1</v>
      </c>
      <c r="D359" s="324"/>
      <c r="E359" s="22" t="s">
        <v>199</v>
      </c>
      <c r="F359" s="6"/>
      <c r="G359" s="6"/>
      <c r="H359" s="689" t="s">
        <v>231</v>
      </c>
      <c r="J359" s="105">
        <v>183100000</v>
      </c>
      <c r="K359" s="105"/>
      <c r="L359" s="105">
        <f>SUM(J359:K359)</f>
        <v>183100000</v>
      </c>
      <c r="M359" s="105"/>
      <c r="N359" s="105"/>
      <c r="O359" s="105"/>
      <c r="P359" s="105"/>
      <c r="Q359" s="105"/>
      <c r="R359" s="105"/>
      <c r="S359" s="105">
        <f t="shared" ref="S359:S362" si="396">SUM(M359:R359)</f>
        <v>0</v>
      </c>
      <c r="T359" s="105">
        <f t="shared" ref="T359:T362" si="397">S359+L359</f>
        <v>183100000</v>
      </c>
      <c r="U359" s="105"/>
      <c r="V359" s="105"/>
      <c r="W359" s="105"/>
      <c r="X359" s="105"/>
      <c r="Y359" s="105"/>
      <c r="Z359" s="105">
        <f>SUM(U359:Y359)</f>
        <v>0</v>
      </c>
      <c r="AA359" s="105">
        <f>Z359+T359</f>
        <v>183100000</v>
      </c>
      <c r="AB359" s="105"/>
      <c r="AC359" s="105"/>
      <c r="AD359" s="105"/>
      <c r="AE359" s="105"/>
      <c r="AF359" s="105"/>
      <c r="AG359" s="105">
        <f>SUM(AB359:AF359)</f>
        <v>0</v>
      </c>
      <c r="AH359" s="105">
        <f t="shared" ref="AH359:AH363" si="398">AG359+AA359</f>
        <v>183100000</v>
      </c>
      <c r="AI359" s="105">
        <v>183100000</v>
      </c>
      <c r="AJ359" s="732">
        <f>AI359/AH359*100</f>
        <v>100</v>
      </c>
    </row>
    <row r="360" spans="1:36" s="45" customFormat="1" ht="14">
      <c r="A360" s="103"/>
      <c r="B360" s="323"/>
      <c r="C360" s="324">
        <v>2</v>
      </c>
      <c r="D360" s="324"/>
      <c r="E360" s="22" t="s">
        <v>199</v>
      </c>
      <c r="F360" s="6"/>
      <c r="G360" s="6"/>
      <c r="H360" s="689" t="s">
        <v>270</v>
      </c>
      <c r="J360" s="105">
        <v>132300000</v>
      </c>
      <c r="K360" s="105"/>
      <c r="L360" s="105">
        <f>SUM(J360:K360)</f>
        <v>132300000</v>
      </c>
      <c r="M360" s="105"/>
      <c r="N360" s="105"/>
      <c r="O360" s="105"/>
      <c r="P360" s="105"/>
      <c r="Q360" s="105"/>
      <c r="R360" s="105"/>
      <c r="S360" s="105">
        <f t="shared" si="396"/>
        <v>0</v>
      </c>
      <c r="T360" s="105">
        <f t="shared" si="397"/>
        <v>132300000</v>
      </c>
      <c r="U360" s="105"/>
      <c r="V360" s="105"/>
      <c r="W360" s="105"/>
      <c r="X360" s="105"/>
      <c r="Y360" s="105"/>
      <c r="Z360" s="105">
        <f>SUM(U360:Y360)</f>
        <v>0</v>
      </c>
      <c r="AA360" s="105">
        <f>Z360+T360</f>
        <v>132300000</v>
      </c>
      <c r="AB360" s="105"/>
      <c r="AC360" s="105"/>
      <c r="AD360" s="105"/>
      <c r="AE360" s="105"/>
      <c r="AF360" s="105"/>
      <c r="AG360" s="105">
        <f>SUM(AB360:AF360)</f>
        <v>0</v>
      </c>
      <c r="AH360" s="105">
        <f t="shared" si="398"/>
        <v>132300000</v>
      </c>
      <c r="AI360" s="105">
        <v>132300000</v>
      </c>
      <c r="AJ360" s="732">
        <f>AI360/AH360*100</f>
        <v>100</v>
      </c>
    </row>
    <row r="361" spans="1:36" s="45" customFormat="1" ht="29" customHeight="1">
      <c r="A361" s="103"/>
      <c r="B361" s="323"/>
      <c r="C361" s="324">
        <v>3</v>
      </c>
      <c r="D361" s="324"/>
      <c r="E361" s="22" t="s">
        <v>199</v>
      </c>
      <c r="F361" s="6"/>
      <c r="G361" s="6"/>
      <c r="H361" s="858" t="s">
        <v>232</v>
      </c>
      <c r="I361" s="859"/>
      <c r="J361" s="105">
        <v>24291270</v>
      </c>
      <c r="K361" s="105"/>
      <c r="L361" s="105">
        <f>SUM(J361:K361)</f>
        <v>24291270</v>
      </c>
      <c r="M361" s="105"/>
      <c r="N361" s="105"/>
      <c r="O361" s="105"/>
      <c r="P361" s="105"/>
      <c r="Q361" s="105"/>
      <c r="R361" s="105"/>
      <c r="S361" s="105">
        <f t="shared" si="396"/>
        <v>0</v>
      </c>
      <c r="T361" s="105">
        <f t="shared" si="397"/>
        <v>24291270</v>
      </c>
      <c r="U361" s="105"/>
      <c r="V361" s="105"/>
      <c r="W361" s="105"/>
      <c r="X361" s="105"/>
      <c r="Y361" s="105"/>
      <c r="Z361" s="105">
        <f>SUM(U361:Y361)</f>
        <v>0</v>
      </c>
      <c r="AA361" s="105">
        <f>Z361+T361</f>
        <v>24291270</v>
      </c>
      <c r="AB361" s="105"/>
      <c r="AC361" s="105"/>
      <c r="AD361" s="105"/>
      <c r="AE361" s="105"/>
      <c r="AF361" s="105"/>
      <c r="AG361" s="105">
        <f>SUM(AB361:AF361)</f>
        <v>0</v>
      </c>
      <c r="AH361" s="105">
        <f t="shared" si="398"/>
        <v>24291270</v>
      </c>
      <c r="AI361" s="105">
        <v>24291270</v>
      </c>
      <c r="AJ361" s="732">
        <f>AI361/AH361*100</f>
        <v>100</v>
      </c>
    </row>
    <row r="362" spans="1:36" s="45" customFormat="1" ht="33.75" customHeight="1">
      <c r="A362" s="103"/>
      <c r="B362" s="323"/>
      <c r="C362" s="324">
        <v>4</v>
      </c>
      <c r="D362" s="324"/>
      <c r="E362" s="22" t="s">
        <v>199</v>
      </c>
      <c r="F362" s="6"/>
      <c r="G362" s="6"/>
      <c r="H362" s="858" t="s">
        <v>429</v>
      </c>
      <c r="I362" s="859"/>
      <c r="J362" s="105">
        <v>79458560</v>
      </c>
      <c r="K362" s="105"/>
      <c r="L362" s="105">
        <f>SUM(J362:K362)</f>
        <v>79458560</v>
      </c>
      <c r="M362" s="105"/>
      <c r="N362" s="105"/>
      <c r="O362" s="105"/>
      <c r="P362" s="105"/>
      <c r="Q362" s="105"/>
      <c r="R362" s="105"/>
      <c r="S362" s="105">
        <f t="shared" si="396"/>
        <v>0</v>
      </c>
      <c r="T362" s="105">
        <f t="shared" si="397"/>
        <v>79458560</v>
      </c>
      <c r="U362" s="105"/>
      <c r="V362" s="105"/>
      <c r="W362" s="105"/>
      <c r="X362" s="105"/>
      <c r="Y362" s="105"/>
      <c r="Z362" s="105">
        <f>SUM(U362:Y362)</f>
        <v>0</v>
      </c>
      <c r="AA362" s="105">
        <f>Z362+T362</f>
        <v>79458560</v>
      </c>
      <c r="AB362" s="105"/>
      <c r="AC362" s="105"/>
      <c r="AD362" s="105"/>
      <c r="AE362" s="105"/>
      <c r="AF362" s="105"/>
      <c r="AG362" s="105">
        <f>SUM(AB362:AF362)</f>
        <v>0</v>
      </c>
      <c r="AH362" s="105">
        <f t="shared" si="398"/>
        <v>79458560</v>
      </c>
      <c r="AI362" s="105">
        <v>79458560</v>
      </c>
      <c r="AJ362" s="732">
        <f>AI362/AH362*100</f>
        <v>100</v>
      </c>
    </row>
    <row r="363" spans="1:36" s="45" customFormat="1" ht="14">
      <c r="A363" s="273"/>
      <c r="B363" s="323"/>
      <c r="C363" s="336">
        <v>5</v>
      </c>
      <c r="D363" s="331"/>
      <c r="E363" s="155" t="s">
        <v>199</v>
      </c>
      <c r="F363" s="6"/>
      <c r="G363" s="6"/>
      <c r="H363" s="858" t="s">
        <v>628</v>
      </c>
      <c r="I363" s="859"/>
      <c r="J363" s="156"/>
      <c r="K363" s="156"/>
      <c r="L363" s="156"/>
      <c r="M363" s="156"/>
      <c r="N363" s="156">
        <v>1235489</v>
      </c>
      <c r="O363" s="156"/>
      <c r="P363" s="156"/>
      <c r="Q363" s="156"/>
      <c r="R363" s="156"/>
      <c r="S363" s="105">
        <f t="shared" ref="S363" si="399">SUM(M363:R363)</f>
        <v>1235489</v>
      </c>
      <c r="T363" s="105">
        <f t="shared" ref="T363" si="400">S363+L363</f>
        <v>1235489</v>
      </c>
      <c r="U363" s="156"/>
      <c r="V363" s="156"/>
      <c r="W363" s="156"/>
      <c r="X363" s="156"/>
      <c r="Y363" s="156"/>
      <c r="Z363" s="105">
        <f>SUM(U363:Y363)</f>
        <v>0</v>
      </c>
      <c r="AA363" s="105">
        <f>Z363+T363</f>
        <v>1235489</v>
      </c>
      <c r="AB363" s="156"/>
      <c r="AC363" s="156"/>
      <c r="AD363" s="156"/>
      <c r="AE363" s="156"/>
      <c r="AF363" s="156"/>
      <c r="AG363" s="105">
        <f>SUM(AB363:AF363)</f>
        <v>0</v>
      </c>
      <c r="AH363" s="105">
        <f t="shared" si="398"/>
        <v>1235489</v>
      </c>
      <c r="AI363" s="105">
        <v>1235489</v>
      </c>
      <c r="AJ363" s="732">
        <f>AI363/AH363*100</f>
        <v>100</v>
      </c>
    </row>
    <row r="364" spans="1:36" s="45" customFormat="1" ht="6.5" customHeight="1">
      <c r="A364" s="103"/>
      <c r="B364" s="323"/>
      <c r="C364" s="118"/>
      <c r="D364" s="324"/>
      <c r="E364" s="22"/>
      <c r="F364" s="6"/>
      <c r="G364" s="6"/>
      <c r="H364" s="7"/>
      <c r="I364" s="684"/>
      <c r="J364" s="105"/>
      <c r="K364" s="105"/>
      <c r="L364" s="105"/>
      <c r="M364" s="105"/>
      <c r="N364" s="105"/>
      <c r="O364" s="105"/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  <c r="AH364" s="105"/>
      <c r="AI364" s="105"/>
      <c r="AJ364" s="732"/>
    </row>
    <row r="365" spans="1:36" s="45" customFormat="1" ht="14">
      <c r="A365" s="103"/>
      <c r="B365" s="323"/>
      <c r="C365" s="118"/>
      <c r="D365" s="324"/>
      <c r="E365" s="22"/>
      <c r="F365" s="860" t="s">
        <v>38</v>
      </c>
      <c r="G365" s="861"/>
      <c r="H365" s="861"/>
      <c r="I365" s="862"/>
      <c r="J365" s="333">
        <f>SUM(J359:J362)</f>
        <v>419149830</v>
      </c>
      <c r="K365" s="333"/>
      <c r="L365" s="333">
        <f>SUM(L359:L364)</f>
        <v>419149830</v>
      </c>
      <c r="M365" s="333">
        <f t="shared" ref="M365:T365" si="401">SUM(M359:M364)</f>
        <v>0</v>
      </c>
      <c r="N365" s="333">
        <f t="shared" si="401"/>
        <v>1235489</v>
      </c>
      <c r="O365" s="333">
        <f t="shared" si="401"/>
        <v>0</v>
      </c>
      <c r="P365" s="333">
        <f t="shared" si="401"/>
        <v>0</v>
      </c>
      <c r="Q365" s="333">
        <f t="shared" si="401"/>
        <v>0</v>
      </c>
      <c r="R365" s="333">
        <f t="shared" si="401"/>
        <v>0</v>
      </c>
      <c r="S365" s="333">
        <f t="shared" si="401"/>
        <v>1235489</v>
      </c>
      <c r="T365" s="333">
        <f t="shared" si="401"/>
        <v>420385319</v>
      </c>
      <c r="U365" s="333"/>
      <c r="V365" s="333"/>
      <c r="W365" s="333"/>
      <c r="X365" s="333"/>
      <c r="Y365" s="333"/>
      <c r="Z365" s="333">
        <f t="shared" ref="Z365:AA365" si="402">SUM(Z359:Z364)</f>
        <v>0</v>
      </c>
      <c r="AA365" s="333">
        <f t="shared" si="402"/>
        <v>420385319</v>
      </c>
      <c r="AB365" s="333"/>
      <c r="AC365" s="333"/>
      <c r="AD365" s="333"/>
      <c r="AE365" s="333"/>
      <c r="AF365" s="333"/>
      <c r="AG365" s="333">
        <f t="shared" ref="AG365:AI365" si="403">SUM(AG359:AG364)</f>
        <v>0</v>
      </c>
      <c r="AH365" s="333">
        <f t="shared" si="403"/>
        <v>420385319</v>
      </c>
      <c r="AI365" s="333">
        <f t="shared" si="403"/>
        <v>420385319</v>
      </c>
      <c r="AJ365" s="740">
        <f>AI365/AH365*100</f>
        <v>100</v>
      </c>
    </row>
    <row r="366" spans="1:36" s="45" customFormat="1" ht="8.5" customHeight="1">
      <c r="A366" s="103"/>
      <c r="B366" s="323"/>
      <c r="C366" s="118"/>
      <c r="D366" s="324"/>
      <c r="E366" s="22"/>
      <c r="F366" s="41"/>
      <c r="G366" s="41"/>
      <c r="H366" s="66"/>
      <c r="I366" s="41"/>
      <c r="J366" s="126"/>
      <c r="K366" s="126"/>
      <c r="L366" s="126"/>
      <c r="M366" s="126"/>
      <c r="N366" s="126"/>
      <c r="O366" s="126"/>
      <c r="P366" s="126"/>
      <c r="Q366" s="126"/>
      <c r="R366" s="126"/>
      <c r="S366" s="126"/>
      <c r="T366" s="126"/>
      <c r="U366" s="126"/>
      <c r="V366" s="126"/>
      <c r="W366" s="126"/>
      <c r="X366" s="126"/>
      <c r="Y366" s="126"/>
      <c r="Z366" s="126"/>
      <c r="AA366" s="126"/>
      <c r="AB366" s="126"/>
      <c r="AC366" s="126"/>
      <c r="AD366" s="126"/>
      <c r="AE366" s="126"/>
      <c r="AF366" s="126"/>
      <c r="AG366" s="126"/>
      <c r="AH366" s="126"/>
      <c r="AI366" s="126"/>
      <c r="AJ366" s="746"/>
    </row>
    <row r="367" spans="1:36" s="45" customFormat="1" ht="29.25" customHeight="1">
      <c r="A367" s="103"/>
      <c r="B367" s="323">
        <v>2</v>
      </c>
      <c r="C367" s="118"/>
      <c r="D367" s="327">
        <v>1</v>
      </c>
      <c r="E367" s="22"/>
      <c r="F367" s="6"/>
      <c r="G367" s="869" t="s">
        <v>233</v>
      </c>
      <c r="H367" s="867"/>
      <c r="I367" s="868"/>
      <c r="J367" s="105"/>
      <c r="K367" s="105"/>
      <c r="L367" s="105"/>
      <c r="M367" s="105"/>
      <c r="N367" s="105"/>
      <c r="O367" s="105"/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  <c r="AH367" s="105"/>
      <c r="AI367" s="105"/>
      <c r="AJ367" s="732"/>
    </row>
    <row r="368" spans="1:36" s="45" customFormat="1" ht="16" customHeight="1">
      <c r="A368" s="103"/>
      <c r="B368" s="323"/>
      <c r="C368" s="118">
        <v>1</v>
      </c>
      <c r="D368" s="324"/>
      <c r="E368" s="22" t="s">
        <v>199</v>
      </c>
      <c r="F368" s="6"/>
      <c r="G368" s="6"/>
      <c r="H368" s="689" t="s">
        <v>234</v>
      </c>
      <c r="J368" s="105">
        <v>130800000</v>
      </c>
      <c r="K368" s="105"/>
      <c r="L368" s="105">
        <f>SUM(J368:K368)</f>
        <v>130800000</v>
      </c>
      <c r="M368" s="105"/>
      <c r="N368" s="105"/>
      <c r="O368" s="105"/>
      <c r="P368" s="105"/>
      <c r="Q368" s="105"/>
      <c r="R368" s="105"/>
      <c r="S368" s="105">
        <f t="shared" ref="S368:S371" si="404">SUM(M368:R368)</f>
        <v>0</v>
      </c>
      <c r="T368" s="105">
        <f t="shared" ref="T368:T371" si="405">S368+L368</f>
        <v>130800000</v>
      </c>
      <c r="U368" s="105"/>
      <c r="V368" s="105"/>
      <c r="W368" s="105"/>
      <c r="X368" s="105"/>
      <c r="Y368" s="105"/>
      <c r="Z368" s="105">
        <f>SUM(U368:Y368)</f>
        <v>0</v>
      </c>
      <c r="AA368" s="105">
        <f>Z368+T368</f>
        <v>130800000</v>
      </c>
      <c r="AB368" s="105"/>
      <c r="AC368" s="105"/>
      <c r="AD368" s="105"/>
      <c r="AE368" s="105"/>
      <c r="AF368" s="105"/>
      <c r="AG368" s="105">
        <f>SUM(AB368:AF368)</f>
        <v>0</v>
      </c>
      <c r="AH368" s="105">
        <f t="shared" ref="AH368:AH371" si="406">AG368+AA368</f>
        <v>130800000</v>
      </c>
      <c r="AI368" s="105">
        <v>130800000</v>
      </c>
      <c r="AJ368" s="732">
        <f>AI368/AH368*100</f>
        <v>100</v>
      </c>
    </row>
    <row r="369" spans="1:36" s="45" customFormat="1" ht="16" customHeight="1">
      <c r="A369" s="103"/>
      <c r="B369" s="323"/>
      <c r="C369" s="118">
        <v>2</v>
      </c>
      <c r="D369" s="324"/>
      <c r="E369" s="22" t="s">
        <v>199</v>
      </c>
      <c r="F369" s="6"/>
      <c r="G369" s="6"/>
      <c r="H369" s="689" t="s">
        <v>235</v>
      </c>
      <c r="J369" s="105">
        <v>25100000</v>
      </c>
      <c r="K369" s="105"/>
      <c r="L369" s="105">
        <f>SUM(J369:K369)</f>
        <v>25100000</v>
      </c>
      <c r="M369" s="105"/>
      <c r="N369" s="105"/>
      <c r="O369" s="105"/>
      <c r="P369" s="105"/>
      <c r="Q369" s="105"/>
      <c r="R369" s="105"/>
      <c r="S369" s="105">
        <f t="shared" si="404"/>
        <v>0</v>
      </c>
      <c r="T369" s="105">
        <f t="shared" si="405"/>
        <v>25100000</v>
      </c>
      <c r="U369" s="105"/>
      <c r="V369" s="105"/>
      <c r="W369" s="105"/>
      <c r="X369" s="105"/>
      <c r="Y369" s="105"/>
      <c r="Z369" s="105">
        <f>SUM(U369:Y369)</f>
        <v>0</v>
      </c>
      <c r="AA369" s="105">
        <f>Z369+T369</f>
        <v>25100000</v>
      </c>
      <c r="AB369" s="105"/>
      <c r="AC369" s="105"/>
      <c r="AD369" s="105"/>
      <c r="AE369" s="105"/>
      <c r="AF369" s="105"/>
      <c r="AG369" s="105">
        <f>SUM(AB369:AF369)</f>
        <v>0</v>
      </c>
      <c r="AH369" s="105">
        <f t="shared" si="406"/>
        <v>25100000</v>
      </c>
      <c r="AI369" s="105">
        <v>25100000</v>
      </c>
      <c r="AJ369" s="732">
        <f>AI369/AH369*100</f>
        <v>100</v>
      </c>
    </row>
    <row r="370" spans="1:36" s="45" customFormat="1" ht="16" customHeight="1">
      <c r="A370" s="103"/>
      <c r="B370" s="323"/>
      <c r="C370" s="118">
        <v>3</v>
      </c>
      <c r="D370" s="324"/>
      <c r="E370" s="22" t="s">
        <v>199</v>
      </c>
      <c r="F370" s="6"/>
      <c r="G370" s="6"/>
      <c r="H370" s="689" t="s">
        <v>352</v>
      </c>
      <c r="J370" s="105">
        <v>87200000</v>
      </c>
      <c r="K370" s="105"/>
      <c r="L370" s="105">
        <f>SUM(J370:K370)</f>
        <v>87200000</v>
      </c>
      <c r="M370" s="105"/>
      <c r="N370" s="105"/>
      <c r="O370" s="105"/>
      <c r="P370" s="105"/>
      <c r="Q370" s="105"/>
      <c r="R370" s="105"/>
      <c r="S370" s="105">
        <f t="shared" si="404"/>
        <v>0</v>
      </c>
      <c r="T370" s="105">
        <f t="shared" si="405"/>
        <v>87200000</v>
      </c>
      <c r="U370" s="105"/>
      <c r="V370" s="105"/>
      <c r="W370" s="105"/>
      <c r="X370" s="105"/>
      <c r="Y370" s="105"/>
      <c r="Z370" s="105">
        <f>SUM(U370:Y370)</f>
        <v>0</v>
      </c>
      <c r="AA370" s="105">
        <f>Z370+T370</f>
        <v>87200000</v>
      </c>
      <c r="AB370" s="105"/>
      <c r="AC370" s="105"/>
      <c r="AD370" s="105"/>
      <c r="AE370" s="105"/>
      <c r="AF370" s="105"/>
      <c r="AG370" s="105">
        <f>SUM(AB370:AF370)</f>
        <v>0</v>
      </c>
      <c r="AH370" s="105">
        <f t="shared" si="406"/>
        <v>87200000</v>
      </c>
      <c r="AI370" s="105">
        <v>87200000</v>
      </c>
      <c r="AJ370" s="732">
        <f>AI370/AH370*100</f>
        <v>100</v>
      </c>
    </row>
    <row r="371" spans="1:36" s="45" customFormat="1" ht="16" customHeight="1">
      <c r="A371" s="103"/>
      <c r="B371" s="323"/>
      <c r="C371" s="118">
        <v>4</v>
      </c>
      <c r="D371" s="324"/>
      <c r="E371" s="22" t="s">
        <v>199</v>
      </c>
      <c r="F371" s="6"/>
      <c r="G371" s="6"/>
      <c r="H371" s="689" t="s">
        <v>353</v>
      </c>
      <c r="J371" s="105">
        <v>16700000</v>
      </c>
      <c r="K371" s="105"/>
      <c r="L371" s="105">
        <f>SUM(J371:K371)</f>
        <v>16700000</v>
      </c>
      <c r="M371" s="105"/>
      <c r="N371" s="105"/>
      <c r="O371" s="105"/>
      <c r="P371" s="105"/>
      <c r="Q371" s="105"/>
      <c r="R371" s="105"/>
      <c r="S371" s="105">
        <f t="shared" si="404"/>
        <v>0</v>
      </c>
      <c r="T371" s="105">
        <f t="shared" si="405"/>
        <v>16700000</v>
      </c>
      <c r="U371" s="105"/>
      <c r="V371" s="105"/>
      <c r="W371" s="105"/>
      <c r="X371" s="105"/>
      <c r="Y371" s="105"/>
      <c r="Z371" s="105">
        <f>SUM(U371:Y371)</f>
        <v>0</v>
      </c>
      <c r="AA371" s="105">
        <f>Z371+T371</f>
        <v>16700000</v>
      </c>
      <c r="AB371" s="105"/>
      <c r="AC371" s="105"/>
      <c r="AD371" s="105"/>
      <c r="AE371" s="105"/>
      <c r="AF371" s="105"/>
      <c r="AG371" s="105">
        <f>SUM(AB371:AF371)</f>
        <v>0</v>
      </c>
      <c r="AH371" s="105">
        <f t="shared" si="406"/>
        <v>16700000</v>
      </c>
      <c r="AI371" s="105">
        <v>16700000</v>
      </c>
      <c r="AJ371" s="732">
        <f>AI371/AH371*100</f>
        <v>100</v>
      </c>
    </row>
    <row r="372" spans="1:36" s="45" customFormat="1" ht="12.5" customHeight="1">
      <c r="A372" s="103"/>
      <c r="B372" s="323"/>
      <c r="C372" s="118"/>
      <c r="D372" s="324"/>
      <c r="E372" s="22"/>
      <c r="F372" s="6"/>
      <c r="G372" s="6"/>
      <c r="H372" s="7"/>
      <c r="I372" s="684"/>
      <c r="J372" s="105"/>
      <c r="K372" s="105"/>
      <c r="L372" s="105"/>
      <c r="M372" s="105"/>
      <c r="N372" s="105"/>
      <c r="O372" s="105"/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732"/>
    </row>
    <row r="373" spans="1:36" s="45" customFormat="1" ht="13" customHeight="1">
      <c r="A373" s="103"/>
      <c r="B373" s="323"/>
      <c r="C373" s="118"/>
      <c r="D373" s="324"/>
      <c r="E373" s="22"/>
      <c r="F373" s="860" t="s">
        <v>38</v>
      </c>
      <c r="G373" s="861"/>
      <c r="H373" s="861"/>
      <c r="I373" s="862"/>
      <c r="J373" s="333">
        <f>SUM(J368:J371)</f>
        <v>259800000</v>
      </c>
      <c r="K373" s="333"/>
      <c r="L373" s="333">
        <f>SUM(L368:L372)</f>
        <v>259800000</v>
      </c>
      <c r="M373" s="333">
        <f t="shared" ref="M373:T373" si="407">SUM(M368:M372)</f>
        <v>0</v>
      </c>
      <c r="N373" s="333">
        <f t="shared" si="407"/>
        <v>0</v>
      </c>
      <c r="O373" s="333">
        <f t="shared" si="407"/>
        <v>0</v>
      </c>
      <c r="P373" s="333">
        <f t="shared" si="407"/>
        <v>0</v>
      </c>
      <c r="Q373" s="333">
        <f t="shared" si="407"/>
        <v>0</v>
      </c>
      <c r="R373" s="333">
        <f t="shared" si="407"/>
        <v>0</v>
      </c>
      <c r="S373" s="333">
        <f t="shared" si="407"/>
        <v>0</v>
      </c>
      <c r="T373" s="333">
        <f t="shared" si="407"/>
        <v>259800000</v>
      </c>
      <c r="U373" s="333"/>
      <c r="V373" s="333"/>
      <c r="W373" s="333"/>
      <c r="X373" s="333"/>
      <c r="Y373" s="333"/>
      <c r="Z373" s="333">
        <f t="shared" ref="Z373:AA373" si="408">SUM(Z368:Z372)</f>
        <v>0</v>
      </c>
      <c r="AA373" s="333">
        <f t="shared" si="408"/>
        <v>259800000</v>
      </c>
      <c r="AB373" s="333"/>
      <c r="AC373" s="333"/>
      <c r="AD373" s="333"/>
      <c r="AE373" s="333"/>
      <c r="AF373" s="333"/>
      <c r="AG373" s="333">
        <f t="shared" ref="AG373:AI373" si="409">SUM(AG368:AG372)</f>
        <v>0</v>
      </c>
      <c r="AH373" s="333">
        <f t="shared" si="409"/>
        <v>259800000</v>
      </c>
      <c r="AI373" s="333">
        <f t="shared" si="409"/>
        <v>259800000</v>
      </c>
      <c r="AJ373" s="740">
        <f>AI373/AH373*100</f>
        <v>100</v>
      </c>
    </row>
    <row r="374" spans="1:36" s="45" customFormat="1" ht="8.5" customHeight="1">
      <c r="A374" s="273"/>
      <c r="B374" s="323"/>
      <c r="C374" s="118"/>
      <c r="D374" s="331"/>
      <c r="E374" s="155"/>
      <c r="F374" s="202"/>
      <c r="G374" s="202"/>
      <c r="H374" s="202"/>
      <c r="I374" s="202"/>
      <c r="J374" s="205"/>
      <c r="K374" s="205"/>
      <c r="L374" s="205"/>
      <c r="M374" s="205"/>
      <c r="N374" s="205"/>
      <c r="O374" s="205"/>
      <c r="P374" s="205"/>
      <c r="Q374" s="205"/>
      <c r="R374" s="205"/>
      <c r="S374" s="205"/>
      <c r="T374" s="205"/>
      <c r="U374" s="205"/>
      <c r="V374" s="205"/>
      <c r="W374" s="205"/>
      <c r="X374" s="205"/>
      <c r="Y374" s="205"/>
      <c r="Z374" s="205"/>
      <c r="AA374" s="205"/>
      <c r="AB374" s="205"/>
      <c r="AC374" s="205"/>
      <c r="AD374" s="205"/>
      <c r="AE374" s="205"/>
      <c r="AF374" s="205"/>
      <c r="AG374" s="205"/>
      <c r="AH374" s="205"/>
      <c r="AI374" s="205"/>
      <c r="AJ374" s="747"/>
    </row>
    <row r="375" spans="1:36" s="45" customFormat="1" ht="15.5" customHeight="1">
      <c r="A375" s="273"/>
      <c r="B375" s="323">
        <v>3</v>
      </c>
      <c r="C375" s="118"/>
      <c r="D375" s="334">
        <v>1</v>
      </c>
      <c r="E375" s="155"/>
      <c r="F375" s="202"/>
      <c r="G375" s="41" t="s">
        <v>629</v>
      </c>
      <c r="H375" s="202"/>
      <c r="I375" s="202"/>
      <c r="J375" s="205"/>
      <c r="K375" s="205"/>
      <c r="L375" s="205"/>
      <c r="M375" s="205"/>
      <c r="N375" s="205"/>
      <c r="O375" s="205"/>
      <c r="P375" s="205"/>
      <c r="Q375" s="205"/>
      <c r="R375" s="205"/>
      <c r="S375" s="205"/>
      <c r="T375" s="205"/>
      <c r="U375" s="205"/>
      <c r="V375" s="205"/>
      <c r="W375" s="205"/>
      <c r="X375" s="205"/>
      <c r="Y375" s="205"/>
      <c r="Z375" s="205"/>
      <c r="AA375" s="205"/>
      <c r="AB375" s="205"/>
      <c r="AC375" s="205"/>
      <c r="AD375" s="205"/>
      <c r="AE375" s="205"/>
      <c r="AF375" s="205"/>
      <c r="AG375" s="205"/>
      <c r="AH375" s="205"/>
      <c r="AI375" s="205"/>
      <c r="AJ375" s="747"/>
    </row>
    <row r="376" spans="1:36" s="45" customFormat="1" ht="15.5" customHeight="1">
      <c r="A376" s="273"/>
      <c r="B376" s="323"/>
      <c r="C376" s="118">
        <v>1</v>
      </c>
      <c r="D376" s="334"/>
      <c r="E376" s="155" t="s">
        <v>199</v>
      </c>
      <c r="F376" s="202"/>
      <c r="G376" s="202"/>
      <c r="H376" s="335" t="s">
        <v>629</v>
      </c>
      <c r="I376" s="202"/>
      <c r="J376" s="220">
        <v>179243500</v>
      </c>
      <c r="K376" s="220"/>
      <c r="L376" s="220"/>
      <c r="M376" s="220"/>
      <c r="N376" s="220">
        <v>37384808</v>
      </c>
      <c r="O376" s="220"/>
      <c r="P376" s="220"/>
      <c r="Q376" s="220"/>
      <c r="R376" s="220"/>
      <c r="S376" s="105">
        <f t="shared" ref="S376" si="410">SUM(M376:R376)</f>
        <v>37384808</v>
      </c>
      <c r="T376" s="105">
        <f t="shared" ref="T376" si="411">S376+L376</f>
        <v>37384808</v>
      </c>
      <c r="U376" s="220">
        <v>18444913</v>
      </c>
      <c r="V376" s="220"/>
      <c r="W376" s="220"/>
      <c r="X376" s="220"/>
      <c r="Y376" s="220"/>
      <c r="Z376" s="105">
        <f>SUM(U376:Y376)</f>
        <v>18444913</v>
      </c>
      <c r="AA376" s="105">
        <f>Z376+T376</f>
        <v>55829721</v>
      </c>
      <c r="AB376" s="220">
        <v>18207848</v>
      </c>
      <c r="AC376" s="220"/>
      <c r="AD376" s="220"/>
      <c r="AE376" s="220"/>
      <c r="AF376" s="220"/>
      <c r="AG376" s="105">
        <f>SUM(AB376:AF376)</f>
        <v>18207848</v>
      </c>
      <c r="AH376" s="105">
        <f t="shared" ref="AH376" si="412">AG376+AA376</f>
        <v>74037569</v>
      </c>
      <c r="AI376" s="105">
        <v>74037569</v>
      </c>
      <c r="AJ376" s="732">
        <f>AI376/AH376*100</f>
        <v>100</v>
      </c>
    </row>
    <row r="377" spans="1:36" s="45" customFormat="1" ht="7.5" customHeight="1">
      <c r="A377" s="273"/>
      <c r="B377" s="323"/>
      <c r="C377" s="118"/>
      <c r="D377" s="334"/>
      <c r="E377" s="155"/>
      <c r="F377" s="202"/>
      <c r="G377" s="202"/>
      <c r="H377" s="202"/>
      <c r="I377" s="202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  <c r="AJ377" s="748"/>
    </row>
    <row r="378" spans="1:36" s="45" customFormat="1" ht="15.5" customHeight="1">
      <c r="A378" s="103"/>
      <c r="B378" s="323"/>
      <c r="C378" s="118"/>
      <c r="D378" s="324"/>
      <c r="E378" s="22"/>
      <c r="F378" s="860" t="s">
        <v>38</v>
      </c>
      <c r="G378" s="861"/>
      <c r="H378" s="861"/>
      <c r="I378" s="862"/>
      <c r="J378" s="333">
        <f>SUM(J373:J377)</f>
        <v>439043500</v>
      </c>
      <c r="K378" s="333"/>
      <c r="L378" s="333">
        <f>SUM(L376:L377)</f>
        <v>0</v>
      </c>
      <c r="M378" s="333">
        <f t="shared" ref="M378" si="413">SUM(M376:M377)</f>
        <v>0</v>
      </c>
      <c r="N378" s="333">
        <f t="shared" ref="N378" si="414">SUM(N376:N377)</f>
        <v>37384808</v>
      </c>
      <c r="O378" s="333">
        <f t="shared" ref="O378" si="415">SUM(O376:O377)</f>
        <v>0</v>
      </c>
      <c r="P378" s="333">
        <f t="shared" ref="P378" si="416">SUM(P376:P377)</f>
        <v>0</v>
      </c>
      <c r="Q378" s="333">
        <f t="shared" ref="Q378" si="417">SUM(Q376:Q377)</f>
        <v>0</v>
      </c>
      <c r="R378" s="333">
        <f t="shared" ref="R378" si="418">SUM(R376:R377)</f>
        <v>0</v>
      </c>
      <c r="S378" s="333">
        <f t="shared" ref="S378" si="419">SUM(S376:S377)</f>
        <v>37384808</v>
      </c>
      <c r="T378" s="333">
        <f t="shared" ref="T378:Z378" si="420">SUM(T376:T377)</f>
        <v>37384808</v>
      </c>
      <c r="U378" s="333">
        <f t="shared" ref="U378" si="421">SUM(U376:U377)</f>
        <v>18444913</v>
      </c>
      <c r="V378" s="333"/>
      <c r="W378" s="333"/>
      <c r="X378" s="333"/>
      <c r="Y378" s="333"/>
      <c r="Z378" s="333">
        <f t="shared" si="420"/>
        <v>18444913</v>
      </c>
      <c r="AA378" s="333">
        <f t="shared" ref="AA378:AB378" si="422">SUM(AA376:AA377)</f>
        <v>55829721</v>
      </c>
      <c r="AB378" s="333">
        <f t="shared" si="422"/>
        <v>18207848</v>
      </c>
      <c r="AC378" s="333"/>
      <c r="AD378" s="333"/>
      <c r="AE378" s="333"/>
      <c r="AF378" s="333"/>
      <c r="AG378" s="333">
        <f t="shared" ref="AG378:AH378" si="423">SUM(AG376:AG377)</f>
        <v>18207848</v>
      </c>
      <c r="AH378" s="333">
        <f t="shared" si="423"/>
        <v>74037569</v>
      </c>
      <c r="AI378" s="333">
        <f t="shared" ref="AI378" si="424">SUM(AI376:AI377)</f>
        <v>74037569</v>
      </c>
      <c r="AJ378" s="740">
        <f>AI378/AH378*100</f>
        <v>100</v>
      </c>
    </row>
    <row r="379" spans="1:36" s="45" customFormat="1" ht="7.5" customHeight="1">
      <c r="A379" s="103"/>
      <c r="B379" s="323"/>
      <c r="C379" s="118"/>
      <c r="D379" s="324"/>
      <c r="E379" s="22"/>
      <c r="F379" s="41"/>
      <c r="G379" s="41"/>
      <c r="H379" s="66"/>
      <c r="I379" s="41"/>
      <c r="J379" s="126"/>
      <c r="K379" s="126"/>
      <c r="L379" s="126"/>
      <c r="M379" s="126"/>
      <c r="N379" s="126"/>
      <c r="O379" s="126"/>
      <c r="P379" s="126"/>
      <c r="Q379" s="126"/>
      <c r="R379" s="126"/>
      <c r="S379" s="126"/>
      <c r="T379" s="126"/>
      <c r="U379" s="126"/>
      <c r="V379" s="126"/>
      <c r="W379" s="126"/>
      <c r="X379" s="126"/>
      <c r="Y379" s="126"/>
      <c r="Z379" s="126"/>
      <c r="AA379" s="126"/>
      <c r="AB379" s="126"/>
      <c r="AC379" s="126"/>
      <c r="AD379" s="126"/>
      <c r="AE379" s="126"/>
      <c r="AF379" s="126"/>
      <c r="AG379" s="126"/>
      <c r="AH379" s="126"/>
      <c r="AI379" s="126"/>
      <c r="AJ379" s="746"/>
    </row>
    <row r="380" spans="1:36" s="45" customFormat="1" ht="15.5" customHeight="1">
      <c r="A380" s="103"/>
      <c r="B380" s="323"/>
      <c r="C380" s="118"/>
      <c r="D380" s="324"/>
      <c r="E380" s="22"/>
      <c r="F380" s="20" t="s">
        <v>37</v>
      </c>
      <c r="G380" s="20"/>
      <c r="H380" s="4"/>
      <c r="I380" s="5"/>
      <c r="J380" s="101">
        <f>J365+J373</f>
        <v>678949830</v>
      </c>
      <c r="K380" s="101"/>
      <c r="L380" s="225">
        <f>L373+L365</f>
        <v>678949830</v>
      </c>
      <c r="M380" s="225">
        <f>M373+M365</f>
        <v>0</v>
      </c>
      <c r="N380" s="225">
        <f>N373+N365+N378</f>
        <v>38620297</v>
      </c>
      <c r="O380" s="225">
        <f t="shared" ref="O380:T380" si="425">O373+O365+O378</f>
        <v>0</v>
      </c>
      <c r="P380" s="225">
        <f t="shared" si="425"/>
        <v>0</v>
      </c>
      <c r="Q380" s="225">
        <f t="shared" si="425"/>
        <v>0</v>
      </c>
      <c r="R380" s="225">
        <f t="shared" si="425"/>
        <v>0</v>
      </c>
      <c r="S380" s="225">
        <f t="shared" si="425"/>
        <v>38620297</v>
      </c>
      <c r="T380" s="225">
        <f t="shared" si="425"/>
        <v>717570127</v>
      </c>
      <c r="U380" s="225">
        <f t="shared" ref="U380" si="426">U373+U365+U378</f>
        <v>18444913</v>
      </c>
      <c r="V380" s="225"/>
      <c r="W380" s="225"/>
      <c r="X380" s="225"/>
      <c r="Y380" s="225"/>
      <c r="Z380" s="225">
        <f t="shared" ref="Z380:AB380" si="427">Z373+Z365+Z378</f>
        <v>18444913</v>
      </c>
      <c r="AA380" s="225">
        <f t="shared" si="427"/>
        <v>736015040</v>
      </c>
      <c r="AB380" s="225">
        <f t="shared" si="427"/>
        <v>18207848</v>
      </c>
      <c r="AC380" s="225"/>
      <c r="AD380" s="225"/>
      <c r="AE380" s="225"/>
      <c r="AF380" s="225"/>
      <c r="AG380" s="225">
        <f t="shared" ref="AG380:AH380" si="428">AG373+AG365+AG378</f>
        <v>18207848</v>
      </c>
      <c r="AH380" s="225">
        <f t="shared" si="428"/>
        <v>754222888</v>
      </c>
      <c r="AI380" s="225">
        <f t="shared" ref="AI380" si="429">AI373+AI365+AI378</f>
        <v>754222888</v>
      </c>
      <c r="AJ380" s="733">
        <f>AI380/AH380*100</f>
        <v>100</v>
      </c>
    </row>
    <row r="381" spans="1:36" s="45" customFormat="1" ht="5" customHeight="1">
      <c r="A381" s="103"/>
      <c r="B381" s="323"/>
      <c r="C381" s="118"/>
      <c r="D381" s="324"/>
      <c r="E381" s="22"/>
      <c r="F381" s="6"/>
      <c r="G381" s="6"/>
      <c r="H381" s="7"/>
      <c r="I381" s="8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734"/>
    </row>
    <row r="382" spans="1:36" s="45" customFormat="1" ht="33" customHeight="1">
      <c r="A382" s="337"/>
      <c r="B382" s="338"/>
      <c r="C382" s="339"/>
      <c r="D382" s="339"/>
      <c r="E382" s="339"/>
      <c r="F382" s="889" t="s">
        <v>346</v>
      </c>
      <c r="G382" s="890"/>
      <c r="H382" s="890"/>
      <c r="I382" s="891"/>
      <c r="J382" s="51">
        <f>J380+J355+J309+J291</f>
        <v>3303487489</v>
      </c>
      <c r="K382" s="51"/>
      <c r="L382" s="51">
        <f t="shared" ref="L382:U382" si="430">L380+L355+L309+L291</f>
        <v>2945000489</v>
      </c>
      <c r="M382" s="51">
        <f t="shared" si="430"/>
        <v>0</v>
      </c>
      <c r="N382" s="51">
        <f t="shared" si="430"/>
        <v>99523319</v>
      </c>
      <c r="O382" s="51">
        <f t="shared" si="430"/>
        <v>0</v>
      </c>
      <c r="P382" s="51">
        <f t="shared" si="430"/>
        <v>0</v>
      </c>
      <c r="Q382" s="51">
        <f t="shared" si="430"/>
        <v>0</v>
      </c>
      <c r="R382" s="51">
        <f t="shared" si="430"/>
        <v>0</v>
      </c>
      <c r="S382" s="51">
        <f t="shared" si="430"/>
        <v>99523319</v>
      </c>
      <c r="T382" s="51">
        <f t="shared" si="430"/>
        <v>3044523808</v>
      </c>
      <c r="U382" s="51">
        <f t="shared" si="430"/>
        <v>110130586</v>
      </c>
      <c r="V382" s="51"/>
      <c r="W382" s="51"/>
      <c r="X382" s="51"/>
      <c r="Y382" s="51"/>
      <c r="Z382" s="51">
        <f t="shared" ref="Z382:AB382" si="431">Z380+Z355+Z309+Z291</f>
        <v>110130586</v>
      </c>
      <c r="AA382" s="51">
        <f t="shared" si="431"/>
        <v>3154654394</v>
      </c>
      <c r="AB382" s="51">
        <f t="shared" si="431"/>
        <v>46075031</v>
      </c>
      <c r="AC382" s="51"/>
      <c r="AD382" s="51"/>
      <c r="AE382" s="51"/>
      <c r="AF382" s="51"/>
      <c r="AG382" s="51">
        <f t="shared" ref="AG382:AH382" si="432">AG380+AG355+AG309+AG291</f>
        <v>46075031</v>
      </c>
      <c r="AH382" s="51">
        <f t="shared" si="432"/>
        <v>3200729425</v>
      </c>
      <c r="AI382" s="51">
        <f t="shared" ref="AI382" si="433">AI380+AI355+AI309+AI291</f>
        <v>3202727389</v>
      </c>
      <c r="AJ382" s="737">
        <f>AI382/AH382*100</f>
        <v>100.06242214616438</v>
      </c>
    </row>
    <row r="383" spans="1:36" s="45" customFormat="1" ht="14">
      <c r="A383" s="273"/>
      <c r="B383" s="323"/>
      <c r="C383" s="118"/>
      <c r="D383" s="331"/>
      <c r="E383" s="155"/>
      <c r="F383" s="227"/>
      <c r="G383" s="227"/>
      <c r="H383" s="227"/>
      <c r="I383" s="227"/>
      <c r="J383" s="157"/>
      <c r="K383" s="157"/>
      <c r="L383" s="157"/>
      <c r="M383" s="157"/>
      <c r="N383" s="157"/>
      <c r="O383" s="157"/>
      <c r="P383" s="157"/>
      <c r="Q383" s="157"/>
      <c r="R383" s="157"/>
      <c r="S383" s="157"/>
      <c r="T383" s="157"/>
      <c r="U383" s="157"/>
      <c r="V383" s="157"/>
      <c r="W383" s="157"/>
      <c r="X383" s="157"/>
      <c r="Y383" s="157"/>
      <c r="Z383" s="157"/>
      <c r="AA383" s="157"/>
      <c r="AB383" s="157"/>
      <c r="AC383" s="157"/>
      <c r="AD383" s="157"/>
      <c r="AE383" s="157"/>
      <c r="AF383" s="157"/>
      <c r="AG383" s="157"/>
      <c r="AH383" s="157"/>
      <c r="AI383" s="157"/>
      <c r="AJ383" s="749"/>
    </row>
    <row r="384" spans="1:36" s="45" customFormat="1" ht="14">
      <c r="A384" s="273"/>
      <c r="B384" s="323"/>
      <c r="C384" s="118"/>
      <c r="D384" s="331"/>
      <c r="E384" s="155"/>
      <c r="F384" s="202"/>
      <c r="G384" s="202"/>
      <c r="H384" s="202"/>
      <c r="I384" s="202"/>
      <c r="J384" s="205"/>
      <c r="K384" s="205"/>
      <c r="L384" s="205"/>
      <c r="M384" s="205"/>
      <c r="N384" s="205"/>
      <c r="O384" s="205"/>
      <c r="P384" s="205"/>
      <c r="Q384" s="205"/>
      <c r="R384" s="205"/>
      <c r="S384" s="205"/>
      <c r="T384" s="205"/>
      <c r="U384" s="205"/>
      <c r="V384" s="205"/>
      <c r="W384" s="205"/>
      <c r="X384" s="205"/>
      <c r="Y384" s="205"/>
      <c r="Z384" s="205"/>
      <c r="AA384" s="205"/>
      <c r="AB384" s="205"/>
      <c r="AC384" s="205"/>
      <c r="AD384" s="205"/>
      <c r="AE384" s="205"/>
      <c r="AF384" s="205"/>
      <c r="AG384" s="205"/>
      <c r="AH384" s="205"/>
      <c r="AI384" s="205"/>
      <c r="AJ384" s="747"/>
    </row>
    <row r="385" spans="1:36" s="45" customFormat="1" ht="14">
      <c r="A385" s="273">
        <v>5</v>
      </c>
      <c r="B385" s="323"/>
      <c r="C385" s="118"/>
      <c r="D385" s="334">
        <v>1</v>
      </c>
      <c r="E385" s="155"/>
      <c r="F385" s="41" t="s">
        <v>630</v>
      </c>
      <c r="G385" s="41"/>
      <c r="H385" s="202"/>
      <c r="I385" s="202"/>
      <c r="J385" s="205"/>
      <c r="K385" s="205"/>
      <c r="L385" s="205"/>
      <c r="M385" s="205"/>
      <c r="N385" s="205"/>
      <c r="O385" s="205"/>
      <c r="P385" s="205"/>
      <c r="Q385" s="205"/>
      <c r="R385" s="205"/>
      <c r="S385" s="205"/>
      <c r="T385" s="205"/>
      <c r="U385" s="205"/>
      <c r="V385" s="205"/>
      <c r="W385" s="205"/>
      <c r="X385" s="205"/>
      <c r="Y385" s="205"/>
      <c r="Z385" s="205"/>
      <c r="AA385" s="205"/>
      <c r="AB385" s="205"/>
      <c r="AC385" s="205"/>
      <c r="AD385" s="205"/>
      <c r="AE385" s="205"/>
      <c r="AF385" s="205"/>
      <c r="AG385" s="205"/>
      <c r="AH385" s="205"/>
      <c r="AI385" s="205"/>
      <c r="AJ385" s="747"/>
    </row>
    <row r="386" spans="1:36" s="45" customFormat="1" ht="14">
      <c r="A386" s="273"/>
      <c r="B386" s="323"/>
      <c r="C386" s="118">
        <v>1</v>
      </c>
      <c r="D386" s="334"/>
      <c r="E386" s="155" t="s">
        <v>199</v>
      </c>
      <c r="F386" s="202"/>
      <c r="G386" s="202"/>
      <c r="H386" s="335" t="s">
        <v>631</v>
      </c>
      <c r="I386" s="202"/>
      <c r="J386" s="220">
        <v>179243500</v>
      </c>
      <c r="K386" s="220"/>
      <c r="L386" s="220"/>
      <c r="M386" s="220"/>
      <c r="N386" s="220">
        <v>12036691</v>
      </c>
      <c r="O386" s="220"/>
      <c r="P386" s="220"/>
      <c r="Q386" s="220"/>
      <c r="R386" s="220"/>
      <c r="S386" s="105">
        <f t="shared" ref="S386" si="434">SUM(M386:R386)</f>
        <v>12036691</v>
      </c>
      <c r="T386" s="105">
        <f t="shared" ref="T386" si="435">S386+L386</f>
        <v>12036691</v>
      </c>
      <c r="U386" s="220">
        <v>6067810</v>
      </c>
      <c r="V386" s="220"/>
      <c r="W386" s="220"/>
      <c r="X386" s="220"/>
      <c r="Y386" s="220"/>
      <c r="Z386" s="105">
        <f>SUM(U386:Y386)</f>
        <v>6067810</v>
      </c>
      <c r="AA386" s="105">
        <f>Z386+T386</f>
        <v>18104501</v>
      </c>
      <c r="AB386" s="220">
        <v>4252166</v>
      </c>
      <c r="AC386" s="220"/>
      <c r="AD386" s="220"/>
      <c r="AE386" s="220"/>
      <c r="AF386" s="220"/>
      <c r="AG386" s="105">
        <f>SUM(AB386:AF386)</f>
        <v>4252166</v>
      </c>
      <c r="AH386" s="105">
        <f t="shared" ref="AH386" si="436">AG386+AA386</f>
        <v>22356667</v>
      </c>
      <c r="AI386" s="105">
        <v>22356667</v>
      </c>
      <c r="AJ386" s="732">
        <f>AI386/AH386*100</f>
        <v>100</v>
      </c>
    </row>
    <row r="387" spans="1:36" s="45" customFormat="1" ht="14">
      <c r="A387" s="273"/>
      <c r="B387" s="647"/>
      <c r="C387" s="648">
        <v>2</v>
      </c>
      <c r="D387" s="331"/>
      <c r="E387" s="155" t="s">
        <v>199</v>
      </c>
      <c r="F387" s="202"/>
      <c r="G387" s="202"/>
      <c r="H387" s="335" t="s">
        <v>663</v>
      </c>
      <c r="I387" s="202"/>
      <c r="J387" s="220"/>
      <c r="K387" s="220"/>
      <c r="L387" s="220"/>
      <c r="M387" s="220"/>
      <c r="N387" s="220"/>
      <c r="O387" s="220"/>
      <c r="P387" s="220"/>
      <c r="Q387" s="220"/>
      <c r="R387" s="220"/>
      <c r="S387" s="156"/>
      <c r="T387" s="156"/>
      <c r="U387" s="220">
        <v>2000000</v>
      </c>
      <c r="V387" s="220"/>
      <c r="W387" s="220"/>
      <c r="X387" s="220"/>
      <c r="Y387" s="220"/>
      <c r="Z387" s="105">
        <f>SUM(U387:Y387)</f>
        <v>2000000</v>
      </c>
      <c r="AA387" s="105">
        <f>Z387+T387</f>
        <v>2000000</v>
      </c>
      <c r="AB387" s="220"/>
      <c r="AC387" s="220"/>
      <c r="AD387" s="220"/>
      <c r="AE387" s="220"/>
      <c r="AF387" s="220"/>
      <c r="AG387" s="105">
        <f t="shared" ref="AG387:AG390" si="437">SUM(AB387:AF387)</f>
        <v>0</v>
      </c>
      <c r="AH387" s="105">
        <f t="shared" ref="AH387:AH390" si="438">AG387+AA387</f>
        <v>2000000</v>
      </c>
      <c r="AI387" s="105">
        <v>2000000</v>
      </c>
      <c r="AJ387" s="732">
        <f>AI387/AH387*100</f>
        <v>100</v>
      </c>
    </row>
    <row r="388" spans="1:36" s="45" customFormat="1" ht="14">
      <c r="A388" s="273"/>
      <c r="B388" s="719"/>
      <c r="C388" s="118">
        <v>3</v>
      </c>
      <c r="D388" s="334"/>
      <c r="E388" s="155" t="s">
        <v>199</v>
      </c>
      <c r="F388" s="202"/>
      <c r="G388" s="202"/>
      <c r="H388" s="892" t="s">
        <v>681</v>
      </c>
      <c r="I388" s="893"/>
      <c r="J388" s="220"/>
      <c r="K388" s="220"/>
      <c r="L388" s="220"/>
      <c r="M388" s="220"/>
      <c r="N388" s="220"/>
      <c r="O388" s="220"/>
      <c r="P388" s="220"/>
      <c r="Q388" s="220"/>
      <c r="R388" s="220"/>
      <c r="S388" s="156"/>
      <c r="T388" s="156"/>
      <c r="U388" s="220"/>
      <c r="V388" s="220"/>
      <c r="W388" s="220"/>
      <c r="X388" s="220"/>
      <c r="Y388" s="220"/>
      <c r="Z388" s="156"/>
      <c r="AA388" s="156"/>
      <c r="AB388" s="220">
        <v>176899504</v>
      </c>
      <c r="AC388" s="220"/>
      <c r="AD388" s="220"/>
      <c r="AE388" s="220"/>
      <c r="AF388" s="220"/>
      <c r="AG388" s="105">
        <f t="shared" si="437"/>
        <v>176899504</v>
      </c>
      <c r="AH388" s="105">
        <f t="shared" si="438"/>
        <v>176899504</v>
      </c>
      <c r="AI388" s="156">
        <v>176899504</v>
      </c>
      <c r="AJ388" s="732">
        <f>AI388/AH388*100</f>
        <v>100</v>
      </c>
    </row>
    <row r="389" spans="1:36" s="45" customFormat="1" ht="14">
      <c r="A389" s="273"/>
      <c r="B389" s="719"/>
      <c r="C389" s="648">
        <v>4</v>
      </c>
      <c r="D389" s="331"/>
      <c r="E389" s="155" t="s">
        <v>199</v>
      </c>
      <c r="F389" s="202"/>
      <c r="G389" s="202"/>
      <c r="H389" s="892" t="s">
        <v>682</v>
      </c>
      <c r="I389" s="893"/>
      <c r="J389" s="220"/>
      <c r="K389" s="220"/>
      <c r="L389" s="220"/>
      <c r="M389" s="220"/>
      <c r="N389" s="220"/>
      <c r="O389" s="220"/>
      <c r="P389" s="220"/>
      <c r="Q389" s="220"/>
      <c r="R389" s="220"/>
      <c r="S389" s="156"/>
      <c r="T389" s="156"/>
      <c r="U389" s="220"/>
      <c r="V389" s="220"/>
      <c r="W389" s="220"/>
      <c r="X389" s="220"/>
      <c r="Y389" s="220"/>
      <c r="Z389" s="156"/>
      <c r="AA389" s="156"/>
      <c r="AB389" s="220">
        <v>24522000</v>
      </c>
      <c r="AC389" s="220"/>
      <c r="AD389" s="220"/>
      <c r="AE389" s="220"/>
      <c r="AF389" s="220"/>
      <c r="AG389" s="105">
        <f t="shared" si="437"/>
        <v>24522000</v>
      </c>
      <c r="AH389" s="105">
        <f t="shared" si="438"/>
        <v>24522000</v>
      </c>
      <c r="AI389" s="156">
        <v>24522000</v>
      </c>
      <c r="AJ389" s="732">
        <f>AI389/AH389*100</f>
        <v>100</v>
      </c>
    </row>
    <row r="390" spans="1:36" s="45" customFormat="1" ht="14">
      <c r="A390" s="273"/>
      <c r="B390" s="719"/>
      <c r="C390" s="118">
        <v>5</v>
      </c>
      <c r="D390" s="334"/>
      <c r="E390" s="155" t="s">
        <v>199</v>
      </c>
      <c r="F390" s="202"/>
      <c r="G390" s="202"/>
      <c r="H390" s="892" t="s">
        <v>683</v>
      </c>
      <c r="I390" s="893"/>
      <c r="J390" s="220"/>
      <c r="K390" s="220"/>
      <c r="L390" s="220"/>
      <c r="M390" s="220"/>
      <c r="N390" s="220"/>
      <c r="O390" s="220"/>
      <c r="P390" s="220"/>
      <c r="Q390" s="220"/>
      <c r="R390" s="220"/>
      <c r="S390" s="156"/>
      <c r="T390" s="156"/>
      <c r="U390" s="220"/>
      <c r="V390" s="220"/>
      <c r="W390" s="220"/>
      <c r="X390" s="220"/>
      <c r="Y390" s="220"/>
      <c r="Z390" s="156"/>
      <c r="AA390" s="156"/>
      <c r="AB390" s="220">
        <v>1980000</v>
      </c>
      <c r="AC390" s="220"/>
      <c r="AD390" s="220"/>
      <c r="AE390" s="220"/>
      <c r="AF390" s="220"/>
      <c r="AG390" s="105">
        <f t="shared" si="437"/>
        <v>1980000</v>
      </c>
      <c r="AH390" s="105">
        <f t="shared" si="438"/>
        <v>1980000</v>
      </c>
      <c r="AI390" s="156">
        <v>1980000</v>
      </c>
      <c r="AJ390" s="732">
        <f>AI390/AH390*100</f>
        <v>100</v>
      </c>
    </row>
    <row r="391" spans="1:36" s="45" customFormat="1" ht="14">
      <c r="A391" s="273"/>
      <c r="B391" s="323"/>
      <c r="C391" s="118"/>
      <c r="D391" s="331"/>
      <c r="E391" s="155"/>
      <c r="F391" s="227"/>
      <c r="G391" s="227"/>
      <c r="H391" s="227"/>
      <c r="I391" s="227"/>
      <c r="J391" s="157"/>
      <c r="K391" s="157"/>
      <c r="L391" s="157"/>
      <c r="M391" s="157"/>
      <c r="N391" s="157"/>
      <c r="O391" s="157"/>
      <c r="P391" s="157"/>
      <c r="Q391" s="157"/>
      <c r="R391" s="157"/>
      <c r="S391" s="157"/>
      <c r="T391" s="157"/>
      <c r="U391" s="157"/>
      <c r="V391" s="157"/>
      <c r="W391" s="157"/>
      <c r="X391" s="157"/>
      <c r="Y391" s="157"/>
      <c r="Z391" s="157"/>
      <c r="AA391" s="157"/>
      <c r="AB391" s="157"/>
      <c r="AC391" s="157"/>
      <c r="AD391" s="157"/>
      <c r="AE391" s="157"/>
      <c r="AF391" s="157"/>
      <c r="AG391" s="157"/>
      <c r="AH391" s="157"/>
      <c r="AI391" s="157"/>
      <c r="AJ391" s="749"/>
    </row>
    <row r="392" spans="1:36" s="45" customFormat="1" ht="15.75" customHeight="1">
      <c r="A392" s="103"/>
      <c r="B392" s="323"/>
      <c r="C392" s="118"/>
      <c r="D392" s="324"/>
      <c r="E392" s="22"/>
      <c r="F392" s="20" t="s">
        <v>37</v>
      </c>
      <c r="G392" s="20"/>
      <c r="H392" s="4"/>
      <c r="I392" s="5"/>
      <c r="J392" s="101">
        <f>J373+J381</f>
        <v>259800000</v>
      </c>
      <c r="K392" s="101"/>
      <c r="L392" s="225"/>
      <c r="M392" s="225">
        <f>M381+M373</f>
        <v>0</v>
      </c>
      <c r="N392" s="225">
        <f>SUM(N386)</f>
        <v>12036691</v>
      </c>
      <c r="O392" s="225">
        <f t="shared" ref="O392:T392" si="439">SUM(O386)</f>
        <v>0</v>
      </c>
      <c r="P392" s="225">
        <f t="shared" si="439"/>
        <v>0</v>
      </c>
      <c r="Q392" s="225">
        <f t="shared" si="439"/>
        <v>0</v>
      </c>
      <c r="R392" s="225">
        <f t="shared" si="439"/>
        <v>0</v>
      </c>
      <c r="S392" s="225">
        <f t="shared" si="439"/>
        <v>12036691</v>
      </c>
      <c r="T392" s="225">
        <f t="shared" si="439"/>
        <v>12036691</v>
      </c>
      <c r="U392" s="225">
        <f>SUM(U386:U387)</f>
        <v>8067810</v>
      </c>
      <c r="V392" s="225"/>
      <c r="W392" s="225"/>
      <c r="X392" s="225"/>
      <c r="Y392" s="225"/>
      <c r="Z392" s="225">
        <f t="shared" ref="Z392:AF392" si="440">SUM(Z386:Z391)</f>
        <v>8067810</v>
      </c>
      <c r="AA392" s="225">
        <f t="shared" si="440"/>
        <v>20104501</v>
      </c>
      <c r="AB392" s="225">
        <f t="shared" si="440"/>
        <v>207653670</v>
      </c>
      <c r="AC392" s="225">
        <f t="shared" si="440"/>
        <v>0</v>
      </c>
      <c r="AD392" s="225">
        <f t="shared" si="440"/>
        <v>0</v>
      </c>
      <c r="AE392" s="225">
        <f t="shared" si="440"/>
        <v>0</v>
      </c>
      <c r="AF392" s="225">
        <f t="shared" si="440"/>
        <v>0</v>
      </c>
      <c r="AG392" s="225">
        <f t="shared" ref="AG392:AI392" si="441">SUM(AG386:AG391)</f>
        <v>207653670</v>
      </c>
      <c r="AH392" s="225">
        <f t="shared" si="441"/>
        <v>227758171</v>
      </c>
      <c r="AI392" s="225">
        <f t="shared" si="441"/>
        <v>227758171</v>
      </c>
      <c r="AJ392" s="733">
        <f>AI392/AH392*100</f>
        <v>100</v>
      </c>
    </row>
    <row r="393" spans="1:36" s="45" customFormat="1" ht="14">
      <c r="A393" s="273"/>
      <c r="B393" s="323"/>
      <c r="C393" s="118"/>
      <c r="D393" s="331"/>
      <c r="E393" s="155"/>
      <c r="F393" s="202"/>
      <c r="G393" s="202"/>
      <c r="H393" s="202"/>
      <c r="I393" s="202"/>
      <c r="J393" s="205"/>
      <c r="K393" s="205"/>
      <c r="L393" s="205"/>
      <c r="M393" s="205"/>
      <c r="N393" s="205"/>
      <c r="O393" s="205"/>
      <c r="P393" s="205"/>
      <c r="Q393" s="205"/>
      <c r="R393" s="205"/>
      <c r="S393" s="205"/>
      <c r="T393" s="205"/>
      <c r="U393" s="205"/>
      <c r="V393" s="205"/>
      <c r="W393" s="205"/>
      <c r="X393" s="205"/>
      <c r="Y393" s="205"/>
      <c r="Z393" s="205"/>
      <c r="AA393" s="205"/>
      <c r="AB393" s="205"/>
      <c r="AC393" s="205"/>
      <c r="AD393" s="205"/>
      <c r="AE393" s="205"/>
      <c r="AF393" s="205"/>
      <c r="AG393" s="205"/>
      <c r="AH393" s="205"/>
      <c r="AI393" s="205"/>
      <c r="AJ393" s="747"/>
    </row>
    <row r="394" spans="1:36" s="45" customFormat="1" ht="14">
      <c r="A394" s="273">
        <v>6</v>
      </c>
      <c r="B394" s="323"/>
      <c r="C394" s="118"/>
      <c r="D394" s="334">
        <v>1</v>
      </c>
      <c r="E394" s="155"/>
      <c r="F394" s="41" t="s">
        <v>664</v>
      </c>
      <c r="G394" s="41"/>
      <c r="H394" s="202"/>
      <c r="I394" s="202"/>
      <c r="J394" s="205"/>
      <c r="K394" s="205"/>
      <c r="L394" s="205"/>
      <c r="M394" s="205"/>
      <c r="N394" s="205"/>
      <c r="O394" s="205"/>
      <c r="P394" s="205"/>
      <c r="Q394" s="205"/>
      <c r="R394" s="205"/>
      <c r="S394" s="205"/>
      <c r="T394" s="205"/>
      <c r="U394" s="205"/>
      <c r="V394" s="205"/>
      <c r="W394" s="205"/>
      <c r="X394" s="205"/>
      <c r="Y394" s="205"/>
      <c r="Z394" s="205"/>
      <c r="AA394" s="205"/>
      <c r="AB394" s="205"/>
      <c r="AC394" s="205"/>
      <c r="AD394" s="205"/>
      <c r="AE394" s="205"/>
      <c r="AF394" s="205"/>
      <c r="AG394" s="205"/>
      <c r="AH394" s="205"/>
      <c r="AI394" s="205"/>
      <c r="AJ394" s="747"/>
    </row>
    <row r="395" spans="1:36" s="45" customFormat="1" ht="14">
      <c r="A395" s="273"/>
      <c r="B395" s="323"/>
      <c r="C395" s="118">
        <v>1</v>
      </c>
      <c r="D395" s="334"/>
      <c r="E395" s="155" t="s">
        <v>199</v>
      </c>
      <c r="F395" s="202"/>
      <c r="G395" s="202"/>
      <c r="H395" s="335" t="s">
        <v>665</v>
      </c>
      <c r="I395" s="202"/>
      <c r="J395" s="220">
        <v>179243500</v>
      </c>
      <c r="K395" s="220"/>
      <c r="L395" s="220"/>
      <c r="M395" s="220"/>
      <c r="N395" s="220">
        <v>12036691</v>
      </c>
      <c r="O395" s="220"/>
      <c r="P395" s="220"/>
      <c r="Q395" s="220"/>
      <c r="R395" s="220"/>
      <c r="S395" s="105">
        <f t="shared" ref="S395" si="442">SUM(M395:R395)</f>
        <v>12036691</v>
      </c>
      <c r="T395" s="105"/>
      <c r="U395" s="220">
        <v>239000</v>
      </c>
      <c r="V395" s="220"/>
      <c r="W395" s="220"/>
      <c r="X395" s="220"/>
      <c r="Y395" s="220"/>
      <c r="Z395" s="105">
        <f>SUM(U395:Y395)</f>
        <v>239000</v>
      </c>
      <c r="AA395" s="105">
        <f>Z395+T395</f>
        <v>239000</v>
      </c>
      <c r="AB395" s="220"/>
      <c r="AC395" s="220"/>
      <c r="AD395" s="220"/>
      <c r="AE395" s="220"/>
      <c r="AF395" s="220"/>
      <c r="AG395" s="105">
        <f>SUM(AB395:AF395)</f>
        <v>0</v>
      </c>
      <c r="AH395" s="105">
        <f t="shared" ref="AH395" si="443">AG395+AA395</f>
        <v>239000</v>
      </c>
      <c r="AI395" s="105">
        <v>239000</v>
      </c>
      <c r="AJ395" s="732">
        <f>AI395/AH395*100</f>
        <v>100</v>
      </c>
    </row>
    <row r="396" spans="1:36" s="45" customFormat="1" ht="14">
      <c r="A396" s="273"/>
      <c r="B396" s="719"/>
      <c r="C396" s="720">
        <v>2</v>
      </c>
      <c r="D396" s="331"/>
      <c r="E396" s="155" t="s">
        <v>199</v>
      </c>
      <c r="F396" s="202"/>
      <c r="G396" s="202"/>
      <c r="H396" s="335" t="s">
        <v>684</v>
      </c>
      <c r="I396" s="202"/>
      <c r="J396" s="220"/>
      <c r="K396" s="220"/>
      <c r="L396" s="220"/>
      <c r="M396" s="220"/>
      <c r="N396" s="220"/>
      <c r="O396" s="220"/>
      <c r="P396" s="220"/>
      <c r="Q396" s="220"/>
      <c r="R396" s="220"/>
      <c r="S396" s="156"/>
      <c r="T396" s="156"/>
      <c r="U396" s="220"/>
      <c r="V396" s="220"/>
      <c r="W396" s="220"/>
      <c r="X396" s="220"/>
      <c r="Y396" s="220"/>
      <c r="Z396" s="156"/>
      <c r="AA396" s="156"/>
      <c r="AB396" s="220">
        <v>29146932</v>
      </c>
      <c r="AC396" s="220"/>
      <c r="AD396" s="220"/>
      <c r="AE396" s="220"/>
      <c r="AF396" s="220"/>
      <c r="AG396" s="105">
        <f t="shared" ref="AG396:AG398" si="444">SUM(AB396:AF396)</f>
        <v>29146932</v>
      </c>
      <c r="AH396" s="105">
        <f t="shared" ref="AH396:AH398" si="445">AG396+AA396</f>
        <v>29146932</v>
      </c>
      <c r="AI396" s="156">
        <v>29146932</v>
      </c>
      <c r="AJ396" s="732">
        <f>AI396/AH396*100</f>
        <v>100</v>
      </c>
    </row>
    <row r="397" spans="1:36" s="45" customFormat="1" ht="14">
      <c r="A397" s="273"/>
      <c r="B397" s="719"/>
      <c r="C397" s="720">
        <v>3</v>
      </c>
      <c r="D397" s="331"/>
      <c r="E397" s="155" t="s">
        <v>199</v>
      </c>
      <c r="F397" s="202"/>
      <c r="G397" s="202"/>
      <c r="H397" s="335" t="s">
        <v>685</v>
      </c>
      <c r="I397" s="202"/>
      <c r="J397" s="220"/>
      <c r="K397" s="220"/>
      <c r="L397" s="220"/>
      <c r="M397" s="220"/>
      <c r="N397" s="220"/>
      <c r="O397" s="220"/>
      <c r="P397" s="220"/>
      <c r="Q397" s="220"/>
      <c r="R397" s="220"/>
      <c r="S397" s="156"/>
      <c r="T397" s="156"/>
      <c r="U397" s="220"/>
      <c r="V397" s="220"/>
      <c r="W397" s="220"/>
      <c r="X397" s="220"/>
      <c r="Y397" s="220"/>
      <c r="Z397" s="156"/>
      <c r="AA397" s="156"/>
      <c r="AB397" s="220">
        <v>3000000</v>
      </c>
      <c r="AC397" s="220"/>
      <c r="AD397" s="220"/>
      <c r="AE397" s="220"/>
      <c r="AF397" s="220"/>
      <c r="AG397" s="105">
        <f t="shared" si="444"/>
        <v>3000000</v>
      </c>
      <c r="AH397" s="105">
        <f t="shared" si="445"/>
        <v>3000000</v>
      </c>
      <c r="AI397" s="156">
        <v>3000000</v>
      </c>
      <c r="AJ397" s="732">
        <f>AI397/AH397*100</f>
        <v>100</v>
      </c>
    </row>
    <row r="398" spans="1:36" s="45" customFormat="1" ht="14">
      <c r="A398" s="273"/>
      <c r="B398" s="719"/>
      <c r="C398" s="720">
        <v>4</v>
      </c>
      <c r="D398" s="331"/>
      <c r="E398" s="155" t="s">
        <v>199</v>
      </c>
      <c r="F398" s="202"/>
      <c r="G398" s="202"/>
      <c r="H398" s="892" t="s">
        <v>681</v>
      </c>
      <c r="I398" s="893"/>
      <c r="J398" s="220"/>
      <c r="K398" s="220"/>
      <c r="L398" s="220"/>
      <c r="M398" s="220"/>
      <c r="N398" s="220"/>
      <c r="O398" s="220"/>
      <c r="P398" s="220"/>
      <c r="Q398" s="220"/>
      <c r="R398" s="220"/>
      <c r="S398" s="156"/>
      <c r="T398" s="156"/>
      <c r="U398" s="220"/>
      <c r="V398" s="220"/>
      <c r="W398" s="220"/>
      <c r="X398" s="220"/>
      <c r="Y398" s="220"/>
      <c r="Z398" s="156"/>
      <c r="AA398" s="156"/>
      <c r="AB398" s="220">
        <v>968100496</v>
      </c>
      <c r="AC398" s="220"/>
      <c r="AD398" s="220"/>
      <c r="AE398" s="220"/>
      <c r="AF398" s="220"/>
      <c r="AG398" s="105">
        <f t="shared" si="444"/>
        <v>968100496</v>
      </c>
      <c r="AH398" s="105">
        <f t="shared" si="445"/>
        <v>968100496</v>
      </c>
      <c r="AI398" s="156">
        <v>968100496</v>
      </c>
      <c r="AJ398" s="732">
        <f>AI398/AH398*100</f>
        <v>100</v>
      </c>
    </row>
    <row r="399" spans="1:36" s="45" customFormat="1" ht="14">
      <c r="A399" s="273"/>
      <c r="B399" s="323"/>
      <c r="C399" s="118"/>
      <c r="D399" s="331"/>
      <c r="E399" s="155"/>
      <c r="F399" s="227"/>
      <c r="G399" s="227"/>
      <c r="H399" s="227"/>
      <c r="I399" s="227"/>
      <c r="J399" s="157"/>
      <c r="K399" s="157"/>
      <c r="L399" s="157"/>
      <c r="M399" s="157"/>
      <c r="N399" s="157"/>
      <c r="O399" s="157"/>
      <c r="P399" s="157"/>
      <c r="Q399" s="157"/>
      <c r="R399" s="157"/>
      <c r="S399" s="157"/>
      <c r="T399" s="157"/>
      <c r="U399" s="157"/>
      <c r="V399" s="157"/>
      <c r="W399" s="157"/>
      <c r="X399" s="157"/>
      <c r="Y399" s="157"/>
      <c r="Z399" s="157"/>
      <c r="AA399" s="157"/>
      <c r="AB399" s="157"/>
      <c r="AC399" s="157"/>
      <c r="AD399" s="157"/>
      <c r="AE399" s="157"/>
      <c r="AF399" s="157"/>
      <c r="AG399" s="157"/>
      <c r="AH399" s="157"/>
      <c r="AI399" s="157"/>
      <c r="AJ399" s="749"/>
    </row>
    <row r="400" spans="1:36" s="45" customFormat="1" ht="15.75" customHeight="1">
      <c r="A400" s="103"/>
      <c r="B400" s="323"/>
      <c r="C400" s="118"/>
      <c r="D400" s="324"/>
      <c r="E400" s="22"/>
      <c r="F400" s="20" t="s">
        <v>37</v>
      </c>
      <c r="G400" s="20"/>
      <c r="H400" s="4"/>
      <c r="I400" s="5"/>
      <c r="J400" s="101">
        <f>J379+J387</f>
        <v>0</v>
      </c>
      <c r="K400" s="101"/>
      <c r="L400" s="225"/>
      <c r="M400" s="225">
        <f>M387+M379</f>
        <v>0</v>
      </c>
      <c r="N400" s="225">
        <f t="shared" ref="N400:T400" si="446">SUM(N395)</f>
        <v>12036691</v>
      </c>
      <c r="O400" s="225">
        <f t="shared" si="446"/>
        <v>0</v>
      </c>
      <c r="P400" s="225">
        <f t="shared" si="446"/>
        <v>0</v>
      </c>
      <c r="Q400" s="225">
        <f t="shared" si="446"/>
        <v>0</v>
      </c>
      <c r="R400" s="225">
        <f t="shared" si="446"/>
        <v>0</v>
      </c>
      <c r="S400" s="225">
        <f t="shared" si="446"/>
        <v>12036691</v>
      </c>
      <c r="T400" s="225">
        <f t="shared" si="446"/>
        <v>0</v>
      </c>
      <c r="U400" s="225">
        <f>SUM(U395:U395)</f>
        <v>239000</v>
      </c>
      <c r="V400" s="225"/>
      <c r="W400" s="225"/>
      <c r="X400" s="225"/>
      <c r="Y400" s="225"/>
      <c r="Z400" s="225">
        <f>SUM(Z395:Z395)</f>
        <v>239000</v>
      </c>
      <c r="AA400" s="225">
        <f>SUM(AA395:AA399)</f>
        <v>239000</v>
      </c>
      <c r="AB400" s="225">
        <f>SUM(AB395:AB399)</f>
        <v>1000247428</v>
      </c>
      <c r="AC400" s="225">
        <f t="shared" ref="AC400:AI400" si="447">SUM(AC395:AC399)</f>
        <v>0</v>
      </c>
      <c r="AD400" s="225">
        <f t="shared" si="447"/>
        <v>0</v>
      </c>
      <c r="AE400" s="225">
        <f t="shared" si="447"/>
        <v>0</v>
      </c>
      <c r="AF400" s="225">
        <f t="shared" si="447"/>
        <v>0</v>
      </c>
      <c r="AG400" s="225">
        <f t="shared" si="447"/>
        <v>1000247428</v>
      </c>
      <c r="AH400" s="225">
        <f t="shared" si="447"/>
        <v>1000486428</v>
      </c>
      <c r="AI400" s="225">
        <f t="shared" si="447"/>
        <v>1000486428</v>
      </c>
      <c r="AJ400" s="733">
        <f>AI400/AH400*100</f>
        <v>100</v>
      </c>
    </row>
    <row r="401" spans="1:36" s="45" customFormat="1" ht="15.75" customHeight="1">
      <c r="A401" s="103"/>
      <c r="B401" s="323"/>
      <c r="C401" s="118"/>
      <c r="D401" s="324"/>
      <c r="E401" s="22"/>
      <c r="F401" s="6"/>
      <c r="G401" s="6"/>
      <c r="H401" s="7"/>
      <c r="I401" s="8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734"/>
    </row>
    <row r="402" spans="1:36" s="45" customFormat="1" ht="14">
      <c r="A402" s="695"/>
      <c r="B402" s="284"/>
      <c r="C402" s="111"/>
      <c r="D402" s="111"/>
      <c r="E402" s="111"/>
      <c r="F402" s="877" t="s">
        <v>251</v>
      </c>
      <c r="G402" s="877"/>
      <c r="H402" s="877"/>
      <c r="I402" s="878"/>
      <c r="J402" s="51">
        <f t="shared" ref="J402:U402" si="448">J287</f>
        <v>41634965</v>
      </c>
      <c r="K402" s="51">
        <f t="shared" si="448"/>
        <v>0</v>
      </c>
      <c r="L402" s="51">
        <f t="shared" si="448"/>
        <v>41634965</v>
      </c>
      <c r="M402" s="51">
        <f t="shared" si="448"/>
        <v>0</v>
      </c>
      <c r="N402" s="51">
        <f t="shared" si="448"/>
        <v>0</v>
      </c>
      <c r="O402" s="51">
        <f t="shared" si="448"/>
        <v>0</v>
      </c>
      <c r="P402" s="51">
        <f t="shared" si="448"/>
        <v>0</v>
      </c>
      <c r="Q402" s="51">
        <f t="shared" si="448"/>
        <v>0</v>
      </c>
      <c r="R402" s="51">
        <f t="shared" si="448"/>
        <v>0</v>
      </c>
      <c r="S402" s="51">
        <f t="shared" si="448"/>
        <v>0</v>
      </c>
      <c r="T402" s="51">
        <f t="shared" si="448"/>
        <v>41634965</v>
      </c>
      <c r="U402" s="51">
        <f t="shared" si="448"/>
        <v>0</v>
      </c>
      <c r="V402" s="51">
        <f t="shared" ref="V402:AA402" si="449">V287</f>
        <v>0</v>
      </c>
      <c r="W402" s="51">
        <f t="shared" si="449"/>
        <v>0</v>
      </c>
      <c r="X402" s="51">
        <f t="shared" si="449"/>
        <v>0</v>
      </c>
      <c r="Y402" s="51">
        <f t="shared" si="449"/>
        <v>0</v>
      </c>
      <c r="Z402" s="51">
        <f t="shared" si="449"/>
        <v>0</v>
      </c>
      <c r="AA402" s="51">
        <f t="shared" si="449"/>
        <v>41634965</v>
      </c>
      <c r="AB402" s="51">
        <f t="shared" ref="AB402" si="450">AB287</f>
        <v>0</v>
      </c>
      <c r="AC402" s="51">
        <f t="shared" ref="AC402:AG402" si="451">AC287</f>
        <v>0</v>
      </c>
      <c r="AD402" s="51">
        <f t="shared" si="451"/>
        <v>0</v>
      </c>
      <c r="AE402" s="51">
        <f t="shared" si="451"/>
        <v>0</v>
      </c>
      <c r="AF402" s="51">
        <f t="shared" si="451"/>
        <v>0</v>
      </c>
      <c r="AG402" s="51">
        <f t="shared" si="451"/>
        <v>0</v>
      </c>
      <c r="AH402" s="51">
        <f t="shared" ref="AH402:AI402" si="452">AH287</f>
        <v>41634965</v>
      </c>
      <c r="AI402" s="51">
        <f t="shared" si="452"/>
        <v>41634965</v>
      </c>
      <c r="AJ402" s="737">
        <f>AI402/AH402*100</f>
        <v>100</v>
      </c>
    </row>
    <row r="403" spans="1:36" s="45" customFormat="1" ht="14">
      <c r="A403" s="103"/>
      <c r="B403" s="271"/>
      <c r="C403" s="22"/>
      <c r="D403" s="22"/>
      <c r="E403" s="22"/>
      <c r="F403" s="6"/>
      <c r="G403" s="6"/>
      <c r="H403" s="7"/>
      <c r="I403" s="8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734"/>
    </row>
    <row r="404" spans="1:36" s="45" customFormat="1" ht="14">
      <c r="A404" s="695"/>
      <c r="B404" s="284"/>
      <c r="C404" s="111"/>
      <c r="D404" s="111"/>
      <c r="E404" s="111"/>
      <c r="F404" s="877" t="s">
        <v>200</v>
      </c>
      <c r="G404" s="877"/>
      <c r="H404" s="877"/>
      <c r="I404" s="878"/>
      <c r="J404" s="51">
        <f>J408-J402</f>
        <v>3261852524</v>
      </c>
      <c r="K404" s="51">
        <f>K408-K402</f>
        <v>0</v>
      </c>
      <c r="L404" s="51">
        <f>L408-L402</f>
        <v>2903365524</v>
      </c>
      <c r="M404" s="51">
        <f t="shared" ref="M404:T404" si="453">M408-M402</f>
        <v>0</v>
      </c>
      <c r="N404" s="51">
        <f>N408-N402</f>
        <v>111560010</v>
      </c>
      <c r="O404" s="51">
        <f t="shared" si="453"/>
        <v>0</v>
      </c>
      <c r="P404" s="51">
        <f t="shared" si="453"/>
        <v>0</v>
      </c>
      <c r="Q404" s="51">
        <f t="shared" si="453"/>
        <v>0</v>
      </c>
      <c r="R404" s="51">
        <f t="shared" si="453"/>
        <v>0</v>
      </c>
      <c r="S404" s="51">
        <f t="shared" si="453"/>
        <v>111560010</v>
      </c>
      <c r="T404" s="51">
        <f t="shared" si="453"/>
        <v>3014925534</v>
      </c>
      <c r="U404" s="51">
        <f t="shared" ref="U404:AA404" si="454">U408-U402</f>
        <v>118437396</v>
      </c>
      <c r="V404" s="51">
        <f t="shared" si="454"/>
        <v>0</v>
      </c>
      <c r="W404" s="51">
        <f t="shared" si="454"/>
        <v>0</v>
      </c>
      <c r="X404" s="51">
        <f t="shared" si="454"/>
        <v>0</v>
      </c>
      <c r="Y404" s="51">
        <f t="shared" si="454"/>
        <v>0</v>
      </c>
      <c r="Z404" s="51">
        <f t="shared" si="454"/>
        <v>118437396</v>
      </c>
      <c r="AA404" s="51">
        <f t="shared" si="454"/>
        <v>3133362930</v>
      </c>
      <c r="AB404" s="51">
        <f t="shared" ref="AB404:AG404" si="455">AB408-AB402</f>
        <v>1253976129</v>
      </c>
      <c r="AC404" s="51">
        <f t="shared" si="455"/>
        <v>0</v>
      </c>
      <c r="AD404" s="51">
        <f t="shared" si="455"/>
        <v>0</v>
      </c>
      <c r="AE404" s="51">
        <f t="shared" si="455"/>
        <v>0</v>
      </c>
      <c r="AF404" s="51">
        <f t="shared" si="455"/>
        <v>0</v>
      </c>
      <c r="AG404" s="51">
        <f t="shared" si="455"/>
        <v>1253976129</v>
      </c>
      <c r="AH404" s="51">
        <f t="shared" ref="AH404:AI404" si="456">AH408-AH402</f>
        <v>4387339059</v>
      </c>
      <c r="AI404" s="51">
        <f t="shared" si="456"/>
        <v>4389337023</v>
      </c>
      <c r="AJ404" s="737">
        <f>AI404/AH404*100</f>
        <v>100.04553931148543</v>
      </c>
    </row>
    <row r="405" spans="1:36" s="45" customFormat="1" ht="14">
      <c r="A405" s="103"/>
      <c r="B405" s="271"/>
      <c r="C405" s="22"/>
      <c r="D405" s="22"/>
      <c r="E405" s="22"/>
      <c r="F405" s="24"/>
      <c r="G405" s="25"/>
      <c r="H405" s="25"/>
      <c r="I405" s="25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734"/>
    </row>
    <row r="406" spans="1:36" s="45" customFormat="1" ht="14">
      <c r="A406" s="695"/>
      <c r="B406" s="284"/>
      <c r="C406" s="111"/>
      <c r="D406" s="111"/>
      <c r="E406" s="111"/>
      <c r="F406" s="877" t="s">
        <v>201</v>
      </c>
      <c r="G406" s="877"/>
      <c r="H406" s="877"/>
      <c r="I406" s="878" t="s">
        <v>197</v>
      </c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  <c r="Z406" s="51"/>
      <c r="AA406" s="51"/>
      <c r="AB406" s="51"/>
      <c r="AC406" s="51"/>
      <c r="AD406" s="51"/>
      <c r="AE406" s="51"/>
      <c r="AF406" s="51"/>
      <c r="AG406" s="51"/>
      <c r="AH406" s="51"/>
      <c r="AI406" s="51"/>
      <c r="AJ406" s="737"/>
    </row>
    <row r="407" spans="1:36" s="45" customFormat="1" ht="14.5" thickBot="1">
      <c r="A407" s="103"/>
      <c r="B407" s="271"/>
      <c r="C407" s="22"/>
      <c r="D407" s="22"/>
      <c r="E407" s="22"/>
      <c r="F407" s="6"/>
      <c r="G407" s="6"/>
      <c r="H407" s="7"/>
      <c r="I407" s="8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734"/>
    </row>
    <row r="408" spans="1:36" s="342" customFormat="1" ht="21.75" customHeight="1" thickBot="1">
      <c r="A408" s="340"/>
      <c r="B408" s="286"/>
      <c r="C408" s="102"/>
      <c r="D408" s="102"/>
      <c r="E408" s="102"/>
      <c r="F408" s="888" t="s">
        <v>187</v>
      </c>
      <c r="G408" s="888"/>
      <c r="H408" s="888"/>
      <c r="I408" s="888"/>
      <c r="J408" s="341">
        <f>J382</f>
        <v>3303487489</v>
      </c>
      <c r="K408" s="341">
        <f>K382</f>
        <v>0</v>
      </c>
      <c r="L408" s="375">
        <f>L382</f>
        <v>2945000489</v>
      </c>
      <c r="M408" s="375">
        <f>M382</f>
        <v>0</v>
      </c>
      <c r="N408" s="375">
        <f t="shared" ref="N408:T408" si="457">N382+N392</f>
        <v>111560010</v>
      </c>
      <c r="O408" s="375">
        <f t="shared" si="457"/>
        <v>0</v>
      </c>
      <c r="P408" s="375">
        <f t="shared" si="457"/>
        <v>0</v>
      </c>
      <c r="Q408" s="375">
        <f t="shared" si="457"/>
        <v>0</v>
      </c>
      <c r="R408" s="375">
        <f t="shared" si="457"/>
        <v>0</v>
      </c>
      <c r="S408" s="375">
        <f t="shared" si="457"/>
        <v>111560010</v>
      </c>
      <c r="T408" s="375">
        <f t="shared" si="457"/>
        <v>3056560499</v>
      </c>
      <c r="U408" s="375">
        <f>U382+U392+U400</f>
        <v>118437396</v>
      </c>
      <c r="V408" s="375">
        <f t="shared" ref="V408:AA408" si="458">V382+V392+V400</f>
        <v>0</v>
      </c>
      <c r="W408" s="375">
        <f t="shared" si="458"/>
        <v>0</v>
      </c>
      <c r="X408" s="375">
        <f t="shared" si="458"/>
        <v>0</v>
      </c>
      <c r="Y408" s="375">
        <f t="shared" si="458"/>
        <v>0</v>
      </c>
      <c r="Z408" s="375">
        <f t="shared" si="458"/>
        <v>118437396</v>
      </c>
      <c r="AA408" s="375">
        <f t="shared" si="458"/>
        <v>3174997895</v>
      </c>
      <c r="AB408" s="375">
        <f>AB382+AB392+AB400</f>
        <v>1253976129</v>
      </c>
      <c r="AC408" s="375">
        <f t="shared" ref="AC408:AF408" si="459">AC382+AC392+AC400</f>
        <v>0</v>
      </c>
      <c r="AD408" s="375">
        <f t="shared" si="459"/>
        <v>0</v>
      </c>
      <c r="AE408" s="375">
        <f t="shared" si="459"/>
        <v>0</v>
      </c>
      <c r="AF408" s="375">
        <f t="shared" si="459"/>
        <v>0</v>
      </c>
      <c r="AG408" s="375">
        <f>AG382+AG392+AG400</f>
        <v>1253976129</v>
      </c>
      <c r="AH408" s="375">
        <f t="shared" ref="AH408:AI408" si="460">AH382+AH392+AH400</f>
        <v>4428974024</v>
      </c>
      <c r="AI408" s="375">
        <f t="shared" si="460"/>
        <v>4430971988</v>
      </c>
      <c r="AJ408" s="750">
        <f>AI408/AH408*100</f>
        <v>100.04511121512958</v>
      </c>
    </row>
    <row r="409" spans="1:36" s="45" customFormat="1" ht="23.5" customHeight="1">
      <c r="A409" s="103"/>
      <c r="B409" s="323"/>
      <c r="C409" s="118"/>
      <c r="D409" s="22"/>
      <c r="E409" s="22"/>
      <c r="F409" s="882"/>
      <c r="G409" s="882"/>
      <c r="H409" s="882"/>
      <c r="I409" s="882"/>
      <c r="J409" s="105"/>
      <c r="K409" s="105"/>
      <c r="L409" s="105"/>
      <c r="M409" s="105"/>
      <c r="N409" s="105"/>
      <c r="O409" s="105"/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732"/>
    </row>
    <row r="410" spans="1:36" s="45" customFormat="1" ht="34.5" customHeight="1">
      <c r="A410" s="103"/>
      <c r="B410" s="323"/>
      <c r="C410" s="118"/>
      <c r="D410" s="22"/>
      <c r="E410" s="22"/>
      <c r="F410" s="882" t="s">
        <v>261</v>
      </c>
      <c r="G410" s="882"/>
      <c r="H410" s="882"/>
      <c r="I410" s="882"/>
      <c r="J410" s="105"/>
      <c r="K410" s="105"/>
      <c r="L410" s="105"/>
      <c r="M410" s="105"/>
      <c r="N410" s="105"/>
      <c r="O410" s="105"/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732"/>
    </row>
    <row r="411" spans="1:36" s="45" customFormat="1" ht="18.75" customHeight="1">
      <c r="A411" s="103"/>
      <c r="B411" s="323"/>
      <c r="C411" s="118"/>
      <c r="D411" s="22"/>
      <c r="E411" s="22"/>
      <c r="F411" s="689"/>
      <c r="G411" s="689"/>
      <c r="H411" s="689"/>
      <c r="I411" s="293"/>
      <c r="J411" s="105"/>
      <c r="K411" s="105"/>
      <c r="L411" s="105"/>
      <c r="M411" s="105"/>
      <c r="N411" s="105"/>
      <c r="O411" s="105"/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  <c r="AH411" s="105"/>
      <c r="AI411" s="105"/>
      <c r="AJ411" s="732"/>
    </row>
    <row r="412" spans="1:36" s="45" customFormat="1" ht="18.75" customHeight="1">
      <c r="A412" s="103">
        <v>1</v>
      </c>
      <c r="B412" s="323"/>
      <c r="C412" s="118"/>
      <c r="D412" s="271">
        <v>1</v>
      </c>
      <c r="E412" s="22"/>
      <c r="F412" s="690" t="s">
        <v>240</v>
      </c>
      <c r="G412" s="690"/>
      <c r="H412" s="689"/>
      <c r="I412" s="293"/>
      <c r="J412" s="105"/>
      <c r="K412" s="105"/>
      <c r="L412" s="105"/>
      <c r="M412" s="105"/>
      <c r="N412" s="105"/>
      <c r="O412" s="105"/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732"/>
    </row>
    <row r="413" spans="1:36" s="45" customFormat="1" ht="17.5" customHeight="1">
      <c r="A413" s="103"/>
      <c r="B413" s="323"/>
      <c r="C413" s="118">
        <v>1</v>
      </c>
      <c r="D413" s="22"/>
      <c r="E413" s="22" t="s">
        <v>199</v>
      </c>
      <c r="F413" s="690"/>
      <c r="G413" s="690"/>
      <c r="H413" s="858" t="s">
        <v>160</v>
      </c>
      <c r="I413" s="859"/>
      <c r="J413" s="105">
        <v>7000000</v>
      </c>
      <c r="K413" s="105"/>
      <c r="L413" s="105">
        <f>SUM(J413:K413)</f>
        <v>7000000</v>
      </c>
      <c r="M413" s="105"/>
      <c r="N413" s="105"/>
      <c r="O413" s="105"/>
      <c r="P413" s="105"/>
      <c r="Q413" s="105"/>
      <c r="R413" s="105"/>
      <c r="S413" s="105">
        <f t="shared" ref="S413:S435" si="461">SUM(M413:R413)</f>
        <v>0</v>
      </c>
      <c r="T413" s="105">
        <f t="shared" ref="T413:T435" si="462">S413+L413</f>
        <v>7000000</v>
      </c>
      <c r="U413" s="105"/>
      <c r="V413" s="105"/>
      <c r="W413" s="105"/>
      <c r="X413" s="105"/>
      <c r="Y413" s="105"/>
      <c r="Z413" s="105">
        <f t="shared" ref="Z413:Z436" si="463">SUM(U413:Y413)</f>
        <v>0</v>
      </c>
      <c r="AA413" s="105">
        <f t="shared" ref="AA413:AA436" si="464">Z413+T413</f>
        <v>7000000</v>
      </c>
      <c r="AB413" s="105"/>
      <c r="AC413" s="105"/>
      <c r="AD413" s="105">
        <v>-2067917</v>
      </c>
      <c r="AE413" s="105"/>
      <c r="AF413" s="105"/>
      <c r="AG413" s="105">
        <f t="shared" ref="AG413:AG436" si="465">SUM(AB413:AF413)</f>
        <v>-2067917</v>
      </c>
      <c r="AH413" s="105">
        <f t="shared" ref="AH413:AH438" si="466">AG413+AA413</f>
        <v>4932083</v>
      </c>
      <c r="AI413" s="105">
        <v>4932083</v>
      </c>
      <c r="AJ413" s="732">
        <f t="shared" ref="AJ413:AJ418" si="467">AI413/AH413*100</f>
        <v>100</v>
      </c>
    </row>
    <row r="414" spans="1:36" s="45" customFormat="1" ht="30.5" customHeight="1">
      <c r="A414" s="273"/>
      <c r="B414" s="323"/>
      <c r="C414" s="118">
        <v>2</v>
      </c>
      <c r="D414" s="155"/>
      <c r="E414" s="118" t="s">
        <v>198</v>
      </c>
      <c r="F414" s="690"/>
      <c r="G414" s="690"/>
      <c r="H414" s="858" t="s">
        <v>493</v>
      </c>
      <c r="I414" s="859"/>
      <c r="J414" s="105">
        <v>4502632</v>
      </c>
      <c r="K414" s="156"/>
      <c r="L414" s="105">
        <f t="shared" ref="L414:L435" si="468">SUM(J414:K414)</f>
        <v>4502632</v>
      </c>
      <c r="M414" s="105"/>
      <c r="N414" s="105"/>
      <c r="O414" s="105"/>
      <c r="P414" s="105"/>
      <c r="Q414" s="105"/>
      <c r="R414" s="105"/>
      <c r="S414" s="105">
        <f t="shared" si="461"/>
        <v>0</v>
      </c>
      <c r="T414" s="105">
        <f t="shared" si="462"/>
        <v>4502632</v>
      </c>
      <c r="U414" s="105"/>
      <c r="V414" s="105"/>
      <c r="W414" s="105"/>
      <c r="X414" s="105"/>
      <c r="Y414" s="105"/>
      <c r="Z414" s="105">
        <f t="shared" si="463"/>
        <v>0</v>
      </c>
      <c r="AA414" s="105">
        <f t="shared" si="464"/>
        <v>4502632</v>
      </c>
      <c r="AB414" s="105"/>
      <c r="AC414" s="105"/>
      <c r="AD414" s="105"/>
      <c r="AE414" s="105"/>
      <c r="AF414" s="105"/>
      <c r="AG414" s="105">
        <f t="shared" si="465"/>
        <v>0</v>
      </c>
      <c r="AH414" s="105">
        <f t="shared" si="466"/>
        <v>4502632</v>
      </c>
      <c r="AI414" s="105">
        <v>4502632</v>
      </c>
      <c r="AJ414" s="732">
        <f t="shared" si="467"/>
        <v>100</v>
      </c>
    </row>
    <row r="415" spans="1:36" s="45" customFormat="1" ht="33" customHeight="1">
      <c r="A415" s="273"/>
      <c r="B415" s="323"/>
      <c r="C415" s="118">
        <v>3</v>
      </c>
      <c r="D415" s="155"/>
      <c r="E415" s="118" t="s">
        <v>198</v>
      </c>
      <c r="F415" s="690"/>
      <c r="G415" s="690"/>
      <c r="H415" s="858" t="s">
        <v>494</v>
      </c>
      <c r="I415" s="859"/>
      <c r="J415" s="105">
        <v>7483473</v>
      </c>
      <c r="K415" s="156"/>
      <c r="L415" s="105">
        <f t="shared" si="468"/>
        <v>7483473</v>
      </c>
      <c r="M415" s="105"/>
      <c r="N415" s="105"/>
      <c r="O415" s="105"/>
      <c r="P415" s="105"/>
      <c r="Q415" s="105"/>
      <c r="R415" s="105"/>
      <c r="S415" s="105">
        <f t="shared" si="461"/>
        <v>0</v>
      </c>
      <c r="T415" s="105">
        <f t="shared" si="462"/>
        <v>7483473</v>
      </c>
      <c r="U415" s="105"/>
      <c r="V415" s="105"/>
      <c r="W415" s="105"/>
      <c r="X415" s="105"/>
      <c r="Y415" s="105"/>
      <c r="Z415" s="105">
        <f t="shared" si="463"/>
        <v>0</v>
      </c>
      <c r="AA415" s="105">
        <f t="shared" si="464"/>
        <v>7483473</v>
      </c>
      <c r="AB415" s="105"/>
      <c r="AC415" s="105"/>
      <c r="AD415" s="105">
        <v>-2183473</v>
      </c>
      <c r="AE415" s="105"/>
      <c r="AF415" s="105"/>
      <c r="AG415" s="105">
        <f t="shared" si="465"/>
        <v>-2183473</v>
      </c>
      <c r="AH415" s="105">
        <f t="shared" si="466"/>
        <v>5300000</v>
      </c>
      <c r="AI415" s="105">
        <v>5300000</v>
      </c>
      <c r="AJ415" s="732">
        <f t="shared" si="467"/>
        <v>100</v>
      </c>
    </row>
    <row r="416" spans="1:36" s="45" customFormat="1" ht="40.5" customHeight="1">
      <c r="A416" s="273"/>
      <c r="B416" s="323"/>
      <c r="C416" s="118">
        <v>4</v>
      </c>
      <c r="D416" s="155"/>
      <c r="E416" s="118" t="s">
        <v>198</v>
      </c>
      <c r="F416" s="690"/>
      <c r="G416" s="690"/>
      <c r="H416" s="858" t="s">
        <v>495</v>
      </c>
      <c r="I416" s="859"/>
      <c r="J416" s="105">
        <v>14500335</v>
      </c>
      <c r="K416" s="156"/>
      <c r="L416" s="105">
        <f t="shared" si="468"/>
        <v>14500335</v>
      </c>
      <c r="M416" s="105"/>
      <c r="N416" s="105"/>
      <c r="O416" s="105"/>
      <c r="P416" s="105"/>
      <c r="Q416" s="105"/>
      <c r="R416" s="105"/>
      <c r="S416" s="105">
        <f t="shared" si="461"/>
        <v>0</v>
      </c>
      <c r="T416" s="105">
        <f t="shared" si="462"/>
        <v>14500335</v>
      </c>
      <c r="U416" s="105"/>
      <c r="V416" s="105"/>
      <c r="W416" s="105"/>
      <c r="X416" s="105"/>
      <c r="Y416" s="105"/>
      <c r="Z416" s="105">
        <f t="shared" si="463"/>
        <v>0</v>
      </c>
      <c r="AA416" s="105">
        <f t="shared" si="464"/>
        <v>14500335</v>
      </c>
      <c r="AB416" s="105"/>
      <c r="AC416" s="105"/>
      <c r="AD416" s="105">
        <v>-5299873</v>
      </c>
      <c r="AE416" s="105"/>
      <c r="AF416" s="105"/>
      <c r="AG416" s="105">
        <f t="shared" si="465"/>
        <v>-5299873</v>
      </c>
      <c r="AH416" s="105">
        <f t="shared" si="466"/>
        <v>9200462</v>
      </c>
      <c r="AI416" s="105">
        <v>9200462</v>
      </c>
      <c r="AJ416" s="732">
        <f t="shared" si="467"/>
        <v>100</v>
      </c>
    </row>
    <row r="417" spans="1:36" s="45" customFormat="1" ht="37" customHeight="1">
      <c r="A417" s="273"/>
      <c r="B417" s="323"/>
      <c r="C417" s="118">
        <v>5</v>
      </c>
      <c r="D417" s="155"/>
      <c r="E417" s="118" t="s">
        <v>199</v>
      </c>
      <c r="F417" s="690"/>
      <c r="G417" s="690"/>
      <c r="H417" s="858" t="s">
        <v>496</v>
      </c>
      <c r="I417" s="859"/>
      <c r="J417" s="105">
        <v>26966754</v>
      </c>
      <c r="K417" s="156"/>
      <c r="L417" s="105">
        <f t="shared" si="468"/>
        <v>26966754</v>
      </c>
      <c r="M417" s="105"/>
      <c r="N417" s="105"/>
      <c r="O417" s="105"/>
      <c r="P417" s="105"/>
      <c r="Q417" s="105"/>
      <c r="R417" s="105"/>
      <c r="S417" s="105">
        <f t="shared" si="461"/>
        <v>0</v>
      </c>
      <c r="T417" s="105">
        <f t="shared" si="462"/>
        <v>26966754</v>
      </c>
      <c r="U417" s="105"/>
      <c r="V417" s="105"/>
      <c r="W417" s="105"/>
      <c r="X417" s="105"/>
      <c r="Y417" s="105"/>
      <c r="Z417" s="105">
        <f t="shared" si="463"/>
        <v>0</v>
      </c>
      <c r="AA417" s="105">
        <f t="shared" si="464"/>
        <v>26966754</v>
      </c>
      <c r="AB417" s="105"/>
      <c r="AC417" s="105"/>
      <c r="AD417" s="105">
        <v>1458300</v>
      </c>
      <c r="AE417" s="105"/>
      <c r="AF417" s="105"/>
      <c r="AG417" s="105">
        <f t="shared" si="465"/>
        <v>1458300</v>
      </c>
      <c r="AH417" s="105">
        <f t="shared" si="466"/>
        <v>28425054</v>
      </c>
      <c r="AI417" s="105">
        <v>28425054</v>
      </c>
      <c r="AJ417" s="732">
        <f t="shared" si="467"/>
        <v>100</v>
      </c>
    </row>
    <row r="418" spans="1:36" s="45" customFormat="1" ht="31.5" customHeight="1">
      <c r="A418" s="273"/>
      <c r="B418" s="323"/>
      <c r="C418" s="118">
        <v>6</v>
      </c>
      <c r="D418" s="155"/>
      <c r="E418" s="118" t="s">
        <v>199</v>
      </c>
      <c r="F418" s="690"/>
      <c r="G418" s="690"/>
      <c r="H418" s="858" t="s">
        <v>497</v>
      </c>
      <c r="I418" s="859"/>
      <c r="J418" s="105">
        <v>559579</v>
      </c>
      <c r="K418" s="156"/>
      <c r="L418" s="105">
        <f t="shared" si="468"/>
        <v>559579</v>
      </c>
      <c r="M418" s="105"/>
      <c r="N418" s="105"/>
      <c r="O418" s="105"/>
      <c r="P418" s="105"/>
      <c r="Q418" s="105"/>
      <c r="R418" s="105"/>
      <c r="S418" s="105">
        <f t="shared" si="461"/>
        <v>0</v>
      </c>
      <c r="T418" s="105">
        <f t="shared" si="462"/>
        <v>559579</v>
      </c>
      <c r="U418" s="105"/>
      <c r="V418" s="105"/>
      <c r="W418" s="105"/>
      <c r="X418" s="105"/>
      <c r="Y418" s="105"/>
      <c r="Z418" s="105">
        <f t="shared" si="463"/>
        <v>0</v>
      </c>
      <c r="AA418" s="105">
        <f t="shared" si="464"/>
        <v>559579</v>
      </c>
      <c r="AB418" s="105"/>
      <c r="AC418" s="105"/>
      <c r="AD418" s="105"/>
      <c r="AE418" s="105"/>
      <c r="AF418" s="105"/>
      <c r="AG418" s="105">
        <f t="shared" si="465"/>
        <v>0</v>
      </c>
      <c r="AH418" s="105">
        <f t="shared" si="466"/>
        <v>559579</v>
      </c>
      <c r="AI418" s="105">
        <v>559579</v>
      </c>
      <c r="AJ418" s="732">
        <f t="shared" si="467"/>
        <v>100</v>
      </c>
    </row>
    <row r="419" spans="1:36" s="45" customFormat="1" ht="32" customHeight="1">
      <c r="A419" s="273"/>
      <c r="B419" s="323"/>
      <c r="C419" s="118">
        <v>7</v>
      </c>
      <c r="D419" s="155"/>
      <c r="E419" s="118" t="s">
        <v>199</v>
      </c>
      <c r="F419" s="690"/>
      <c r="G419" s="690"/>
      <c r="H419" s="858" t="s">
        <v>498</v>
      </c>
      <c r="I419" s="859"/>
      <c r="J419" s="105">
        <v>78661</v>
      </c>
      <c r="K419" s="156"/>
      <c r="L419" s="105">
        <f t="shared" si="468"/>
        <v>78661</v>
      </c>
      <c r="M419" s="105"/>
      <c r="N419" s="105"/>
      <c r="O419" s="105"/>
      <c r="P419" s="105"/>
      <c r="Q419" s="105"/>
      <c r="R419" s="105"/>
      <c r="S419" s="105">
        <f t="shared" si="461"/>
        <v>0</v>
      </c>
      <c r="T419" s="105">
        <f t="shared" si="462"/>
        <v>78661</v>
      </c>
      <c r="U419" s="105"/>
      <c r="V419" s="105"/>
      <c r="W419" s="105"/>
      <c r="X419" s="105"/>
      <c r="Y419" s="105"/>
      <c r="Z419" s="105">
        <f t="shared" si="463"/>
        <v>0</v>
      </c>
      <c r="AA419" s="105">
        <f t="shared" si="464"/>
        <v>78661</v>
      </c>
      <c r="AB419" s="105"/>
      <c r="AC419" s="105"/>
      <c r="AD419" s="105">
        <v>-78661</v>
      </c>
      <c r="AE419" s="105"/>
      <c r="AF419" s="105"/>
      <c r="AG419" s="105">
        <f t="shared" si="465"/>
        <v>-78661</v>
      </c>
      <c r="AH419" s="105">
        <f t="shared" si="466"/>
        <v>0</v>
      </c>
      <c r="AI419" s="105"/>
      <c r="AJ419" s="732"/>
    </row>
    <row r="420" spans="1:36" s="45" customFormat="1" ht="18.5" customHeight="1">
      <c r="A420" s="273"/>
      <c r="B420" s="323"/>
      <c r="C420" s="118">
        <v>8</v>
      </c>
      <c r="D420" s="155"/>
      <c r="E420" s="118" t="s">
        <v>199</v>
      </c>
      <c r="F420" s="690"/>
      <c r="G420" s="690"/>
      <c r="H420" s="858" t="s">
        <v>499</v>
      </c>
      <c r="I420" s="859"/>
      <c r="J420" s="105">
        <v>51300</v>
      </c>
      <c r="K420" s="156"/>
      <c r="L420" s="105">
        <f t="shared" si="468"/>
        <v>51300</v>
      </c>
      <c r="M420" s="105"/>
      <c r="N420" s="105"/>
      <c r="O420" s="105"/>
      <c r="P420" s="105"/>
      <c r="Q420" s="105"/>
      <c r="R420" s="105"/>
      <c r="S420" s="105">
        <f t="shared" si="461"/>
        <v>0</v>
      </c>
      <c r="T420" s="105">
        <f t="shared" si="462"/>
        <v>51300</v>
      </c>
      <c r="U420" s="105"/>
      <c r="V420" s="105"/>
      <c r="W420" s="105"/>
      <c r="X420" s="105"/>
      <c r="Y420" s="105"/>
      <c r="Z420" s="105">
        <f t="shared" si="463"/>
        <v>0</v>
      </c>
      <c r="AA420" s="105">
        <f t="shared" si="464"/>
        <v>51300</v>
      </c>
      <c r="AB420" s="105"/>
      <c r="AC420" s="105"/>
      <c r="AD420" s="105">
        <v>-51300</v>
      </c>
      <c r="AE420" s="105"/>
      <c r="AF420" s="105"/>
      <c r="AG420" s="105">
        <f t="shared" si="465"/>
        <v>-51300</v>
      </c>
      <c r="AH420" s="105">
        <f t="shared" si="466"/>
        <v>0</v>
      </c>
      <c r="AI420" s="105"/>
      <c r="AJ420" s="732"/>
    </row>
    <row r="421" spans="1:36" s="45" customFormat="1" ht="18" customHeight="1">
      <c r="A421" s="273"/>
      <c r="B421" s="323"/>
      <c r="C421" s="118">
        <v>9</v>
      </c>
      <c r="D421" s="155"/>
      <c r="E421" s="118" t="s">
        <v>199</v>
      </c>
      <c r="F421" s="690"/>
      <c r="G421" s="690"/>
      <c r="H421" s="858" t="s">
        <v>500</v>
      </c>
      <c r="I421" s="859"/>
      <c r="J421" s="105">
        <v>38268</v>
      </c>
      <c r="K421" s="156"/>
      <c r="L421" s="105">
        <f t="shared" si="468"/>
        <v>38268</v>
      </c>
      <c r="M421" s="105"/>
      <c r="N421" s="105"/>
      <c r="O421" s="105"/>
      <c r="P421" s="105"/>
      <c r="Q421" s="105"/>
      <c r="R421" s="105"/>
      <c r="S421" s="105">
        <f t="shared" si="461"/>
        <v>0</v>
      </c>
      <c r="T421" s="105">
        <f t="shared" si="462"/>
        <v>38268</v>
      </c>
      <c r="U421" s="105"/>
      <c r="V421" s="105"/>
      <c r="W421" s="105"/>
      <c r="X421" s="105"/>
      <c r="Y421" s="105"/>
      <c r="Z421" s="105">
        <f t="shared" si="463"/>
        <v>0</v>
      </c>
      <c r="AA421" s="105">
        <f t="shared" si="464"/>
        <v>38268</v>
      </c>
      <c r="AB421" s="105"/>
      <c r="AC421" s="105"/>
      <c r="AD421" s="105">
        <v>-38268</v>
      </c>
      <c r="AE421" s="105"/>
      <c r="AF421" s="105"/>
      <c r="AG421" s="105">
        <f t="shared" si="465"/>
        <v>-38268</v>
      </c>
      <c r="AH421" s="105">
        <f t="shared" si="466"/>
        <v>0</v>
      </c>
      <c r="AI421" s="105"/>
      <c r="AJ421" s="732"/>
    </row>
    <row r="422" spans="1:36" s="45" customFormat="1" ht="26" customHeight="1">
      <c r="A422" s="273"/>
      <c r="B422" s="323"/>
      <c r="C422" s="118">
        <v>10</v>
      </c>
      <c r="D422" s="155"/>
      <c r="E422" s="118" t="s">
        <v>199</v>
      </c>
      <c r="F422" s="690"/>
      <c r="G422" s="690"/>
      <c r="H422" s="858" t="s">
        <v>501</v>
      </c>
      <c r="I422" s="859"/>
      <c r="J422" s="105">
        <v>18071</v>
      </c>
      <c r="K422" s="156"/>
      <c r="L422" s="105">
        <f t="shared" si="468"/>
        <v>18071</v>
      </c>
      <c r="M422" s="105"/>
      <c r="N422" s="105"/>
      <c r="O422" s="105"/>
      <c r="P422" s="105"/>
      <c r="Q422" s="105"/>
      <c r="R422" s="105"/>
      <c r="S422" s="105">
        <f t="shared" si="461"/>
        <v>0</v>
      </c>
      <c r="T422" s="105">
        <f t="shared" si="462"/>
        <v>18071</v>
      </c>
      <c r="U422" s="105"/>
      <c r="V422" s="105"/>
      <c r="W422" s="105"/>
      <c r="X422" s="105"/>
      <c r="Y422" s="105"/>
      <c r="Z422" s="105">
        <f t="shared" si="463"/>
        <v>0</v>
      </c>
      <c r="AA422" s="105">
        <f t="shared" si="464"/>
        <v>18071</v>
      </c>
      <c r="AB422" s="105"/>
      <c r="AC422" s="105"/>
      <c r="AD422" s="105"/>
      <c r="AE422" s="105"/>
      <c r="AF422" s="105"/>
      <c r="AG422" s="105">
        <f t="shared" si="465"/>
        <v>0</v>
      </c>
      <c r="AH422" s="105">
        <f t="shared" si="466"/>
        <v>18071</v>
      </c>
      <c r="AI422" s="105">
        <v>18071</v>
      </c>
      <c r="AJ422" s="732">
        <f>AI422/AH422*100</f>
        <v>100</v>
      </c>
    </row>
    <row r="423" spans="1:36" s="45" customFormat="1" ht="26" customHeight="1">
      <c r="A423" s="273"/>
      <c r="B423" s="323"/>
      <c r="C423" s="118">
        <v>11</v>
      </c>
      <c r="D423" s="155"/>
      <c r="E423" s="118" t="s">
        <v>199</v>
      </c>
      <c r="F423" s="690"/>
      <c r="G423" s="690"/>
      <c r="H423" s="858" t="s">
        <v>502</v>
      </c>
      <c r="I423" s="859"/>
      <c r="J423" s="105">
        <v>1368030</v>
      </c>
      <c r="K423" s="156"/>
      <c r="L423" s="105">
        <f t="shared" si="468"/>
        <v>1368030</v>
      </c>
      <c r="M423" s="105"/>
      <c r="N423" s="105"/>
      <c r="O423" s="105"/>
      <c r="P423" s="105"/>
      <c r="Q423" s="105"/>
      <c r="R423" s="105"/>
      <c r="S423" s="105">
        <f t="shared" si="461"/>
        <v>0</v>
      </c>
      <c r="T423" s="105">
        <f t="shared" si="462"/>
        <v>1368030</v>
      </c>
      <c r="U423" s="105"/>
      <c r="V423" s="105"/>
      <c r="W423" s="105"/>
      <c r="X423" s="105"/>
      <c r="Y423" s="105"/>
      <c r="Z423" s="105">
        <f t="shared" si="463"/>
        <v>0</v>
      </c>
      <c r="AA423" s="105">
        <f t="shared" si="464"/>
        <v>1368030</v>
      </c>
      <c r="AB423" s="105"/>
      <c r="AC423" s="105"/>
      <c r="AD423" s="105">
        <v>-543778</v>
      </c>
      <c r="AE423" s="105"/>
      <c r="AF423" s="105"/>
      <c r="AG423" s="105">
        <f t="shared" si="465"/>
        <v>-543778</v>
      </c>
      <c r="AH423" s="105">
        <f t="shared" si="466"/>
        <v>824252</v>
      </c>
      <c r="AI423" s="105">
        <v>824252</v>
      </c>
      <c r="AJ423" s="732">
        <f>AI423/AH423*100</f>
        <v>100</v>
      </c>
    </row>
    <row r="424" spans="1:36" s="45" customFormat="1" ht="18" customHeight="1">
      <c r="A424" s="273"/>
      <c r="B424" s="323"/>
      <c r="C424" s="118">
        <v>12</v>
      </c>
      <c r="D424" s="155"/>
      <c r="E424" s="118" t="s">
        <v>199</v>
      </c>
      <c r="F424" s="690"/>
      <c r="G424" s="690"/>
      <c r="H424" s="858" t="s">
        <v>503</v>
      </c>
      <c r="I424" s="859"/>
      <c r="J424" s="105">
        <v>99900</v>
      </c>
      <c r="K424" s="156"/>
      <c r="L424" s="105">
        <f t="shared" si="468"/>
        <v>99900</v>
      </c>
      <c r="M424" s="105"/>
      <c r="N424" s="105"/>
      <c r="O424" s="105"/>
      <c r="P424" s="105"/>
      <c r="Q424" s="105"/>
      <c r="R424" s="105"/>
      <c r="S424" s="105">
        <f t="shared" si="461"/>
        <v>0</v>
      </c>
      <c r="T424" s="105">
        <f t="shared" si="462"/>
        <v>99900</v>
      </c>
      <c r="U424" s="105"/>
      <c r="V424" s="105"/>
      <c r="W424" s="105"/>
      <c r="X424" s="105"/>
      <c r="Y424" s="105"/>
      <c r="Z424" s="105">
        <f t="shared" si="463"/>
        <v>0</v>
      </c>
      <c r="AA424" s="105">
        <f t="shared" si="464"/>
        <v>99900</v>
      </c>
      <c r="AB424" s="105"/>
      <c r="AC424" s="105"/>
      <c r="AD424" s="105">
        <v>-99900</v>
      </c>
      <c r="AE424" s="105"/>
      <c r="AF424" s="105"/>
      <c r="AG424" s="105">
        <f t="shared" si="465"/>
        <v>-99900</v>
      </c>
      <c r="AH424" s="105">
        <f t="shared" si="466"/>
        <v>0</v>
      </c>
      <c r="AI424" s="105"/>
      <c r="AJ424" s="732"/>
    </row>
    <row r="425" spans="1:36" s="45" customFormat="1" ht="26" customHeight="1">
      <c r="A425" s="273"/>
      <c r="B425" s="323"/>
      <c r="C425" s="118">
        <v>13</v>
      </c>
      <c r="D425" s="155"/>
      <c r="E425" s="118" t="s">
        <v>199</v>
      </c>
      <c r="F425" s="690"/>
      <c r="G425" s="690"/>
      <c r="H425" s="858" t="s">
        <v>504</v>
      </c>
      <c r="I425" s="859"/>
      <c r="J425" s="105">
        <v>100000000</v>
      </c>
      <c r="K425" s="156"/>
      <c r="L425" s="105">
        <f t="shared" si="468"/>
        <v>100000000</v>
      </c>
      <c r="M425" s="105"/>
      <c r="N425" s="105"/>
      <c r="O425" s="105"/>
      <c r="P425" s="105"/>
      <c r="Q425" s="105"/>
      <c r="R425" s="105"/>
      <c r="S425" s="105">
        <f t="shared" si="461"/>
        <v>0</v>
      </c>
      <c r="T425" s="105">
        <f t="shared" si="462"/>
        <v>100000000</v>
      </c>
      <c r="U425" s="105"/>
      <c r="V425" s="105"/>
      <c r="W425" s="105"/>
      <c r="X425" s="105"/>
      <c r="Y425" s="105"/>
      <c r="Z425" s="105">
        <f t="shared" si="463"/>
        <v>0</v>
      </c>
      <c r="AA425" s="105">
        <f t="shared" si="464"/>
        <v>100000000</v>
      </c>
      <c r="AB425" s="105"/>
      <c r="AC425" s="105"/>
      <c r="AD425" s="105"/>
      <c r="AE425" s="105"/>
      <c r="AF425" s="105"/>
      <c r="AG425" s="105">
        <f t="shared" si="465"/>
        <v>0</v>
      </c>
      <c r="AH425" s="105">
        <f t="shared" si="466"/>
        <v>100000000</v>
      </c>
      <c r="AI425" s="105">
        <v>100000000</v>
      </c>
      <c r="AJ425" s="732">
        <f>AI425/AH425*100</f>
        <v>100</v>
      </c>
    </row>
    <row r="426" spans="1:36" s="45" customFormat="1" ht="26" customHeight="1">
      <c r="A426" s="273"/>
      <c r="B426" s="323"/>
      <c r="C426" s="118">
        <v>14</v>
      </c>
      <c r="D426" s="155"/>
      <c r="E426" s="118" t="s">
        <v>199</v>
      </c>
      <c r="F426" s="690"/>
      <c r="G426" s="690"/>
      <c r="H426" s="858" t="s">
        <v>505</v>
      </c>
      <c r="I426" s="859"/>
      <c r="J426" s="105">
        <v>400000</v>
      </c>
      <c r="K426" s="156"/>
      <c r="L426" s="105">
        <f t="shared" si="468"/>
        <v>400000</v>
      </c>
      <c r="M426" s="105"/>
      <c r="N426" s="105"/>
      <c r="O426" s="105"/>
      <c r="P426" s="105"/>
      <c r="Q426" s="105"/>
      <c r="R426" s="105"/>
      <c r="S426" s="105">
        <f t="shared" si="461"/>
        <v>0</v>
      </c>
      <c r="T426" s="105">
        <f t="shared" si="462"/>
        <v>400000</v>
      </c>
      <c r="U426" s="105"/>
      <c r="V426" s="105"/>
      <c r="W426" s="105"/>
      <c r="X426" s="105"/>
      <c r="Y426" s="105"/>
      <c r="Z426" s="105">
        <f t="shared" si="463"/>
        <v>0</v>
      </c>
      <c r="AA426" s="105">
        <f t="shared" si="464"/>
        <v>400000</v>
      </c>
      <c r="AB426" s="105"/>
      <c r="AC426" s="105"/>
      <c r="AD426" s="105"/>
      <c r="AE426" s="105"/>
      <c r="AF426" s="105"/>
      <c r="AG426" s="105">
        <f t="shared" si="465"/>
        <v>0</v>
      </c>
      <c r="AH426" s="105">
        <f t="shared" si="466"/>
        <v>400000</v>
      </c>
      <c r="AI426" s="105">
        <v>400000</v>
      </c>
      <c r="AJ426" s="732">
        <f>AI426/AH426*100</f>
        <v>100</v>
      </c>
    </row>
    <row r="427" spans="1:36" s="45" customFormat="1" ht="17.5" customHeight="1">
      <c r="A427" s="273"/>
      <c r="B427" s="323"/>
      <c r="C427" s="118">
        <v>15</v>
      </c>
      <c r="D427" s="155"/>
      <c r="E427" s="118" t="s">
        <v>199</v>
      </c>
      <c r="F427" s="690"/>
      <c r="G427" s="690"/>
      <c r="H427" s="858" t="s">
        <v>506</v>
      </c>
      <c r="I427" s="859"/>
      <c r="J427" s="105">
        <v>516083</v>
      </c>
      <c r="K427" s="156"/>
      <c r="L427" s="105">
        <f t="shared" si="468"/>
        <v>516083</v>
      </c>
      <c r="M427" s="105"/>
      <c r="N427" s="105"/>
      <c r="O427" s="105"/>
      <c r="P427" s="105"/>
      <c r="Q427" s="105"/>
      <c r="R427" s="105"/>
      <c r="S427" s="105">
        <f t="shared" si="461"/>
        <v>0</v>
      </c>
      <c r="T427" s="105">
        <f t="shared" si="462"/>
        <v>516083</v>
      </c>
      <c r="U427" s="105"/>
      <c r="V427" s="105"/>
      <c r="W427" s="105"/>
      <c r="X427" s="105"/>
      <c r="Y427" s="105"/>
      <c r="Z427" s="105">
        <f t="shared" si="463"/>
        <v>0</v>
      </c>
      <c r="AA427" s="105">
        <f t="shared" si="464"/>
        <v>516083</v>
      </c>
      <c r="AB427" s="105"/>
      <c r="AC427" s="105"/>
      <c r="AD427" s="105"/>
      <c r="AE427" s="105"/>
      <c r="AF427" s="105"/>
      <c r="AG427" s="105">
        <f t="shared" si="465"/>
        <v>0</v>
      </c>
      <c r="AH427" s="105">
        <f t="shared" si="466"/>
        <v>516083</v>
      </c>
      <c r="AI427" s="105">
        <v>516083</v>
      </c>
      <c r="AJ427" s="732">
        <f>AI427/AH427*100</f>
        <v>100</v>
      </c>
    </row>
    <row r="428" spans="1:36" s="45" customFormat="1" ht="17.5" customHeight="1">
      <c r="A428" s="273"/>
      <c r="B428" s="323"/>
      <c r="C428" s="118">
        <v>16</v>
      </c>
      <c r="D428" s="155"/>
      <c r="E428" s="118" t="s">
        <v>199</v>
      </c>
      <c r="F428" s="690"/>
      <c r="G428" s="690"/>
      <c r="H428" s="858" t="s">
        <v>507</v>
      </c>
      <c r="I428" s="859"/>
      <c r="J428" s="105">
        <v>63267972</v>
      </c>
      <c r="K428" s="156"/>
      <c r="L428" s="105">
        <f t="shared" si="468"/>
        <v>63267972</v>
      </c>
      <c r="M428" s="105"/>
      <c r="N428" s="105"/>
      <c r="O428" s="105"/>
      <c r="P428" s="105"/>
      <c r="Q428" s="105"/>
      <c r="R428" s="105"/>
      <c r="S428" s="105">
        <f t="shared" si="461"/>
        <v>0</v>
      </c>
      <c r="T428" s="105">
        <f t="shared" si="462"/>
        <v>63267972</v>
      </c>
      <c r="U428" s="105"/>
      <c r="V428" s="105"/>
      <c r="W428" s="105"/>
      <c r="X428" s="105"/>
      <c r="Y428" s="105"/>
      <c r="Z428" s="105">
        <f t="shared" si="463"/>
        <v>0</v>
      </c>
      <c r="AA428" s="105">
        <f t="shared" si="464"/>
        <v>63267972</v>
      </c>
      <c r="AB428" s="105"/>
      <c r="AC428" s="105"/>
      <c r="AD428" s="105">
        <v>-21863000</v>
      </c>
      <c r="AE428" s="105"/>
      <c r="AF428" s="105"/>
      <c r="AG428" s="105">
        <f t="shared" si="465"/>
        <v>-21863000</v>
      </c>
      <c r="AH428" s="105">
        <f t="shared" si="466"/>
        <v>41404972</v>
      </c>
      <c r="AI428" s="105">
        <v>41404972</v>
      </c>
      <c r="AJ428" s="732">
        <f>AI428/AH428*100</f>
        <v>100</v>
      </c>
    </row>
    <row r="429" spans="1:36" s="45" customFormat="1" ht="26" customHeight="1">
      <c r="A429" s="273"/>
      <c r="B429" s="323"/>
      <c r="C429" s="118">
        <v>17</v>
      </c>
      <c r="D429" s="155"/>
      <c r="E429" s="118" t="s">
        <v>199</v>
      </c>
      <c r="F429" s="690"/>
      <c r="G429" s="690"/>
      <c r="H429" s="858" t="s">
        <v>508</v>
      </c>
      <c r="I429" s="859"/>
      <c r="J429" s="105">
        <v>99900</v>
      </c>
      <c r="K429" s="156"/>
      <c r="L429" s="105">
        <f t="shared" si="468"/>
        <v>99900</v>
      </c>
      <c r="M429" s="105"/>
      <c r="N429" s="105"/>
      <c r="O429" s="105"/>
      <c r="P429" s="105"/>
      <c r="Q429" s="105"/>
      <c r="R429" s="105"/>
      <c r="S429" s="105">
        <f t="shared" si="461"/>
        <v>0</v>
      </c>
      <c r="T429" s="105">
        <f t="shared" si="462"/>
        <v>99900</v>
      </c>
      <c r="U429" s="105"/>
      <c r="V429" s="105"/>
      <c r="W429" s="105"/>
      <c r="X429" s="105"/>
      <c r="Y429" s="105"/>
      <c r="Z429" s="105">
        <f t="shared" si="463"/>
        <v>0</v>
      </c>
      <c r="AA429" s="105">
        <f t="shared" si="464"/>
        <v>99900</v>
      </c>
      <c r="AB429" s="105"/>
      <c r="AC429" s="105"/>
      <c r="AD429" s="105">
        <v>-99900</v>
      </c>
      <c r="AE429" s="105"/>
      <c r="AF429" s="105"/>
      <c r="AG429" s="105">
        <f t="shared" si="465"/>
        <v>-99900</v>
      </c>
      <c r="AH429" s="105">
        <f t="shared" si="466"/>
        <v>0</v>
      </c>
      <c r="AI429" s="105"/>
      <c r="AJ429" s="732"/>
    </row>
    <row r="430" spans="1:36" s="45" customFormat="1" ht="16.5" customHeight="1">
      <c r="A430" s="273"/>
      <c r="B430" s="323"/>
      <c r="C430" s="118">
        <v>18</v>
      </c>
      <c r="D430" s="155"/>
      <c r="E430" s="118" t="s">
        <v>199</v>
      </c>
      <c r="F430" s="690"/>
      <c r="G430" s="690"/>
      <c r="H430" s="858" t="s">
        <v>509</v>
      </c>
      <c r="I430" s="859"/>
      <c r="J430" s="105">
        <v>221837064</v>
      </c>
      <c r="K430" s="156"/>
      <c r="L430" s="105">
        <f t="shared" si="468"/>
        <v>221837064</v>
      </c>
      <c r="M430" s="105"/>
      <c r="N430" s="105"/>
      <c r="O430" s="105"/>
      <c r="P430" s="105"/>
      <c r="Q430" s="105"/>
      <c r="R430" s="105"/>
      <c r="S430" s="105">
        <f t="shared" si="461"/>
        <v>0</v>
      </c>
      <c r="T430" s="105">
        <f t="shared" si="462"/>
        <v>221837064</v>
      </c>
      <c r="U430" s="105"/>
      <c r="V430" s="105"/>
      <c r="W430" s="105"/>
      <c r="X430" s="105"/>
      <c r="Y430" s="105"/>
      <c r="Z430" s="105">
        <f t="shared" si="463"/>
        <v>0</v>
      </c>
      <c r="AA430" s="105">
        <f t="shared" si="464"/>
        <v>221837064</v>
      </c>
      <c r="AB430" s="105"/>
      <c r="AC430" s="105"/>
      <c r="AD430" s="105">
        <v>13106305</v>
      </c>
      <c r="AE430" s="105"/>
      <c r="AF430" s="105"/>
      <c r="AG430" s="105">
        <f t="shared" si="465"/>
        <v>13106305</v>
      </c>
      <c r="AH430" s="105">
        <f t="shared" si="466"/>
        <v>234943369</v>
      </c>
      <c r="AI430" s="105">
        <v>234943369</v>
      </c>
      <c r="AJ430" s="732">
        <f>AI430/AH430*100</f>
        <v>100</v>
      </c>
    </row>
    <row r="431" spans="1:36" s="45" customFormat="1" ht="26" customHeight="1">
      <c r="A431" s="273"/>
      <c r="B431" s="323"/>
      <c r="C431" s="118">
        <v>19</v>
      </c>
      <c r="D431" s="155"/>
      <c r="E431" s="118" t="s">
        <v>199</v>
      </c>
      <c r="F431" s="690"/>
      <c r="G431" s="690"/>
      <c r="H431" s="858" t="s">
        <v>510</v>
      </c>
      <c r="I431" s="859"/>
      <c r="J431" s="105">
        <v>6577795</v>
      </c>
      <c r="K431" s="156"/>
      <c r="L431" s="105">
        <f t="shared" si="468"/>
        <v>6577795</v>
      </c>
      <c r="M431" s="105"/>
      <c r="N431" s="105"/>
      <c r="O431" s="105"/>
      <c r="P431" s="105"/>
      <c r="Q431" s="105"/>
      <c r="R431" s="105"/>
      <c r="S431" s="105">
        <f t="shared" si="461"/>
        <v>0</v>
      </c>
      <c r="T431" s="105">
        <f t="shared" si="462"/>
        <v>6577795</v>
      </c>
      <c r="U431" s="105"/>
      <c r="V431" s="105"/>
      <c r="W431" s="105"/>
      <c r="X431" s="105"/>
      <c r="Y431" s="105"/>
      <c r="Z431" s="105">
        <f t="shared" si="463"/>
        <v>0</v>
      </c>
      <c r="AA431" s="105">
        <f t="shared" si="464"/>
        <v>6577795</v>
      </c>
      <c r="AB431" s="105"/>
      <c r="AC431" s="105"/>
      <c r="AD431" s="105"/>
      <c r="AE431" s="105"/>
      <c r="AF431" s="105"/>
      <c r="AG431" s="105">
        <f t="shared" si="465"/>
        <v>0</v>
      </c>
      <c r="AH431" s="105">
        <f t="shared" si="466"/>
        <v>6577795</v>
      </c>
      <c r="AI431" s="105">
        <v>6577795</v>
      </c>
      <c r="AJ431" s="732">
        <f>AI431/AH431*100</f>
        <v>100</v>
      </c>
    </row>
    <row r="432" spans="1:36" s="45" customFormat="1" ht="26" customHeight="1">
      <c r="A432" s="273"/>
      <c r="B432" s="323"/>
      <c r="C432" s="118">
        <v>20</v>
      </c>
      <c r="D432" s="155"/>
      <c r="E432" s="118" t="s">
        <v>199</v>
      </c>
      <c r="F432" s="690"/>
      <c r="G432" s="690"/>
      <c r="H432" s="858" t="s">
        <v>511</v>
      </c>
      <c r="I432" s="859"/>
      <c r="J432" s="105">
        <v>382320</v>
      </c>
      <c r="K432" s="156"/>
      <c r="L432" s="105">
        <f t="shared" si="468"/>
        <v>382320</v>
      </c>
      <c r="M432" s="105"/>
      <c r="N432" s="105"/>
      <c r="O432" s="105"/>
      <c r="P432" s="105"/>
      <c r="Q432" s="105"/>
      <c r="R432" s="105"/>
      <c r="S432" s="105">
        <f t="shared" si="461"/>
        <v>0</v>
      </c>
      <c r="T432" s="105">
        <f t="shared" si="462"/>
        <v>382320</v>
      </c>
      <c r="U432" s="105"/>
      <c r="V432" s="105"/>
      <c r="W432" s="105"/>
      <c r="X432" s="105"/>
      <c r="Y432" s="105"/>
      <c r="Z432" s="105">
        <f t="shared" si="463"/>
        <v>0</v>
      </c>
      <c r="AA432" s="105">
        <f t="shared" si="464"/>
        <v>382320</v>
      </c>
      <c r="AB432" s="105"/>
      <c r="AC432" s="105"/>
      <c r="AD432" s="105">
        <v>717860</v>
      </c>
      <c r="AE432" s="105"/>
      <c r="AF432" s="105"/>
      <c r="AG432" s="105">
        <f t="shared" si="465"/>
        <v>717860</v>
      </c>
      <c r="AH432" s="105">
        <f t="shared" si="466"/>
        <v>1100180</v>
      </c>
      <c r="AI432" s="105">
        <v>1100180</v>
      </c>
      <c r="AJ432" s="732">
        <f>AI432/AH432*100</f>
        <v>100</v>
      </c>
    </row>
    <row r="433" spans="1:36" s="45" customFormat="1" ht="26" customHeight="1">
      <c r="A433" s="273"/>
      <c r="B433" s="323"/>
      <c r="C433" s="118">
        <v>21</v>
      </c>
      <c r="D433" s="155"/>
      <c r="E433" s="118" t="s">
        <v>199</v>
      </c>
      <c r="F433" s="690"/>
      <c r="G433" s="690"/>
      <c r="H433" s="858" t="s">
        <v>512</v>
      </c>
      <c r="I433" s="859"/>
      <c r="J433" s="105">
        <v>71220</v>
      </c>
      <c r="K433" s="156"/>
      <c r="L433" s="105">
        <f t="shared" si="468"/>
        <v>71220</v>
      </c>
      <c r="M433" s="105"/>
      <c r="N433" s="105"/>
      <c r="O433" s="105"/>
      <c r="P433" s="105"/>
      <c r="Q433" s="105"/>
      <c r="R433" s="105"/>
      <c r="S433" s="105">
        <f t="shared" si="461"/>
        <v>0</v>
      </c>
      <c r="T433" s="105">
        <f t="shared" si="462"/>
        <v>71220</v>
      </c>
      <c r="U433" s="105"/>
      <c r="V433" s="105"/>
      <c r="W433" s="105"/>
      <c r="X433" s="105"/>
      <c r="Y433" s="105"/>
      <c r="Z433" s="105">
        <f t="shared" si="463"/>
        <v>0</v>
      </c>
      <c r="AA433" s="105">
        <f t="shared" si="464"/>
        <v>71220</v>
      </c>
      <c r="AB433" s="105"/>
      <c r="AC433" s="105"/>
      <c r="AD433" s="105">
        <v>-71220</v>
      </c>
      <c r="AE433" s="105"/>
      <c r="AF433" s="105"/>
      <c r="AG433" s="105">
        <f t="shared" si="465"/>
        <v>-71220</v>
      </c>
      <c r="AH433" s="105">
        <f t="shared" si="466"/>
        <v>0</v>
      </c>
      <c r="AI433" s="105"/>
      <c r="AJ433" s="732"/>
    </row>
    <row r="434" spans="1:36" s="45" customFormat="1" ht="26" customHeight="1">
      <c r="A434" s="273"/>
      <c r="B434" s="323"/>
      <c r="C434" s="118">
        <v>22</v>
      </c>
      <c r="D434" s="155"/>
      <c r="E434" s="118" t="s">
        <v>199</v>
      </c>
      <c r="F434" s="690"/>
      <c r="G434" s="690"/>
      <c r="H434" s="858" t="s">
        <v>513</v>
      </c>
      <c r="I434" s="859"/>
      <c r="J434" s="105">
        <v>88228</v>
      </c>
      <c r="K434" s="156"/>
      <c r="L434" s="105">
        <f t="shared" si="468"/>
        <v>88228</v>
      </c>
      <c r="M434" s="105"/>
      <c r="N434" s="105"/>
      <c r="O434" s="105"/>
      <c r="P434" s="105"/>
      <c r="Q434" s="105"/>
      <c r="R434" s="105"/>
      <c r="S434" s="105">
        <f t="shared" si="461"/>
        <v>0</v>
      </c>
      <c r="T434" s="105">
        <f t="shared" si="462"/>
        <v>88228</v>
      </c>
      <c r="U434" s="105"/>
      <c r="V434" s="105"/>
      <c r="W434" s="105"/>
      <c r="X434" s="105"/>
      <c r="Y434" s="105"/>
      <c r="Z434" s="105">
        <f t="shared" si="463"/>
        <v>0</v>
      </c>
      <c r="AA434" s="105">
        <f t="shared" si="464"/>
        <v>88228</v>
      </c>
      <c r="AB434" s="105"/>
      <c r="AC434" s="105"/>
      <c r="AD434" s="105">
        <v>-88228</v>
      </c>
      <c r="AE434" s="105"/>
      <c r="AF434" s="105"/>
      <c r="AG434" s="105">
        <f t="shared" si="465"/>
        <v>-88228</v>
      </c>
      <c r="AH434" s="105">
        <f t="shared" si="466"/>
        <v>0</v>
      </c>
      <c r="AI434" s="105"/>
      <c r="AJ434" s="732"/>
    </row>
    <row r="435" spans="1:36" s="45" customFormat="1" ht="14">
      <c r="A435" s="103"/>
      <c r="B435" s="323"/>
      <c r="C435" s="118">
        <v>23</v>
      </c>
      <c r="D435" s="155"/>
      <c r="E435" s="118" t="s">
        <v>199</v>
      </c>
      <c r="F435" s="690"/>
      <c r="G435" s="690"/>
      <c r="H435" s="858" t="s">
        <v>514</v>
      </c>
      <c r="I435" s="859"/>
      <c r="J435" s="105">
        <v>25000</v>
      </c>
      <c r="K435" s="105"/>
      <c r="L435" s="105">
        <f t="shared" si="468"/>
        <v>25000</v>
      </c>
      <c r="M435" s="105"/>
      <c r="N435" s="105"/>
      <c r="O435" s="105"/>
      <c r="P435" s="105"/>
      <c r="Q435" s="105"/>
      <c r="R435" s="105"/>
      <c r="S435" s="105">
        <f t="shared" si="461"/>
        <v>0</v>
      </c>
      <c r="T435" s="105">
        <f t="shared" si="462"/>
        <v>25000</v>
      </c>
      <c r="U435" s="105"/>
      <c r="V435" s="105"/>
      <c r="W435" s="105"/>
      <c r="X435" s="105"/>
      <c r="Y435" s="105"/>
      <c r="Z435" s="105">
        <f t="shared" si="463"/>
        <v>0</v>
      </c>
      <c r="AA435" s="105">
        <f t="shared" si="464"/>
        <v>25000</v>
      </c>
      <c r="AB435" s="105"/>
      <c r="AC435" s="105"/>
      <c r="AD435" s="105"/>
      <c r="AE435" s="105"/>
      <c r="AF435" s="105"/>
      <c r="AG435" s="105">
        <f t="shared" si="465"/>
        <v>0</v>
      </c>
      <c r="AH435" s="105">
        <f t="shared" si="466"/>
        <v>25000</v>
      </c>
      <c r="AI435" s="105">
        <v>25000</v>
      </c>
      <c r="AJ435" s="732">
        <f>AI435/AH435*100</f>
        <v>100</v>
      </c>
    </row>
    <row r="436" spans="1:36" s="45" customFormat="1" ht="14">
      <c r="A436" s="273"/>
      <c r="B436" s="323"/>
      <c r="C436" s="118">
        <v>24</v>
      </c>
      <c r="D436" s="155"/>
      <c r="E436" s="118" t="s">
        <v>199</v>
      </c>
      <c r="F436" s="690"/>
      <c r="G436" s="690"/>
      <c r="H436" s="858" t="s">
        <v>632</v>
      </c>
      <c r="I436" s="859"/>
      <c r="J436" s="156"/>
      <c r="K436" s="156"/>
      <c r="L436" s="156"/>
      <c r="M436" s="156"/>
      <c r="N436" s="156"/>
      <c r="O436" s="156"/>
      <c r="P436" s="156">
        <v>825200</v>
      </c>
      <c r="Q436" s="156"/>
      <c r="R436" s="156"/>
      <c r="S436" s="105">
        <f t="shared" ref="S436:S437" si="469">SUM(M436:R436)</f>
        <v>825200</v>
      </c>
      <c r="T436" s="105">
        <f t="shared" ref="T436:T437" si="470">S436+L436</f>
        <v>825200</v>
      </c>
      <c r="U436" s="156"/>
      <c r="V436" s="156"/>
      <c r="W436" s="156"/>
      <c r="X436" s="156"/>
      <c r="Y436" s="156"/>
      <c r="Z436" s="105">
        <f t="shared" si="463"/>
        <v>0</v>
      </c>
      <c r="AA436" s="105">
        <f t="shared" si="464"/>
        <v>825200</v>
      </c>
      <c r="AB436" s="156"/>
      <c r="AC436" s="156"/>
      <c r="AD436" s="156"/>
      <c r="AE436" s="156"/>
      <c r="AF436" s="156"/>
      <c r="AG436" s="105">
        <f t="shared" si="465"/>
        <v>0</v>
      </c>
      <c r="AH436" s="105">
        <f t="shared" si="466"/>
        <v>825200</v>
      </c>
      <c r="AI436" s="105">
        <v>825200</v>
      </c>
      <c r="AJ436" s="732">
        <f>AI436/AH436*100</f>
        <v>100</v>
      </c>
    </row>
    <row r="437" spans="1:36" s="45" customFormat="1" ht="14">
      <c r="A437" s="273"/>
      <c r="B437" s="323"/>
      <c r="C437" s="118">
        <v>25</v>
      </c>
      <c r="D437" s="155"/>
      <c r="E437" s="118" t="s">
        <v>198</v>
      </c>
      <c r="F437" s="690"/>
      <c r="G437" s="690"/>
      <c r="H437" s="858" t="s">
        <v>633</v>
      </c>
      <c r="I437" s="859"/>
      <c r="J437" s="156"/>
      <c r="K437" s="156"/>
      <c r="L437" s="156"/>
      <c r="M437" s="156"/>
      <c r="N437" s="156"/>
      <c r="O437" s="156"/>
      <c r="P437" s="156">
        <v>37600000</v>
      </c>
      <c r="Q437" s="156"/>
      <c r="R437" s="156"/>
      <c r="S437" s="105">
        <f t="shared" si="469"/>
        <v>37600000</v>
      </c>
      <c r="T437" s="105">
        <f t="shared" si="470"/>
        <v>37600000</v>
      </c>
      <c r="U437" s="156"/>
      <c r="V437" s="156"/>
      <c r="W437" s="156"/>
      <c r="X437" s="156"/>
      <c r="Y437" s="156"/>
      <c r="Z437" s="105">
        <f>SUM(U437:Y437)</f>
        <v>0</v>
      </c>
      <c r="AA437" s="105">
        <f>Z437+T437</f>
        <v>37600000</v>
      </c>
      <c r="AB437" s="156"/>
      <c r="AC437" s="156"/>
      <c r="AD437" s="156"/>
      <c r="AE437" s="156"/>
      <c r="AF437" s="156"/>
      <c r="AG437" s="105">
        <f>SUM(AB437:AF437)</f>
        <v>0</v>
      </c>
      <c r="AH437" s="105">
        <f t="shared" si="466"/>
        <v>37600000</v>
      </c>
      <c r="AI437" s="105">
        <v>37600000</v>
      </c>
      <c r="AJ437" s="732">
        <f>AI437/AH437*100</f>
        <v>100</v>
      </c>
    </row>
    <row r="438" spans="1:36" s="45" customFormat="1" ht="14">
      <c r="A438" s="273"/>
      <c r="B438" s="647"/>
      <c r="C438" s="648">
        <v>26</v>
      </c>
      <c r="D438" s="155"/>
      <c r="E438" s="648" t="s">
        <v>199</v>
      </c>
      <c r="F438" s="690"/>
      <c r="G438" s="690"/>
      <c r="H438" s="858" t="s">
        <v>651</v>
      </c>
      <c r="I438" s="859"/>
      <c r="J438" s="156"/>
      <c r="K438" s="156"/>
      <c r="L438" s="156"/>
      <c r="M438" s="156"/>
      <c r="N438" s="156"/>
      <c r="O438" s="156"/>
      <c r="P438" s="156"/>
      <c r="Q438" s="156"/>
      <c r="R438" s="156"/>
      <c r="S438" s="156"/>
      <c r="T438" s="156"/>
      <c r="U438" s="156"/>
      <c r="V438" s="156"/>
      <c r="W438" s="156">
        <v>32745350</v>
      </c>
      <c r="X438" s="156"/>
      <c r="Y438" s="156"/>
      <c r="Z438" s="105">
        <f>SUM(U438:Y438)</f>
        <v>32745350</v>
      </c>
      <c r="AA438" s="105">
        <f>Z438+T438</f>
        <v>32745350</v>
      </c>
      <c r="AB438" s="156"/>
      <c r="AC438" s="156"/>
      <c r="AD438" s="156"/>
      <c r="AE438" s="156"/>
      <c r="AF438" s="156"/>
      <c r="AG438" s="105">
        <f>SUM(AB438:AF438)</f>
        <v>0</v>
      </c>
      <c r="AH438" s="105">
        <f t="shared" si="466"/>
        <v>32745350</v>
      </c>
      <c r="AI438" s="105">
        <v>32745350</v>
      </c>
      <c r="AJ438" s="732">
        <f>AI438/AH438*100</f>
        <v>100</v>
      </c>
    </row>
    <row r="439" spans="1:36" s="45" customFormat="1" ht="13" customHeight="1">
      <c r="A439" s="103"/>
      <c r="B439" s="323"/>
      <c r="C439" s="118"/>
      <c r="D439" s="22"/>
      <c r="E439" s="118"/>
      <c r="F439" s="690"/>
      <c r="G439" s="690"/>
      <c r="H439" s="689"/>
      <c r="I439" s="684"/>
      <c r="J439" s="105"/>
      <c r="K439" s="105"/>
      <c r="L439" s="105"/>
      <c r="M439" s="105"/>
      <c r="N439" s="105"/>
      <c r="O439" s="105"/>
      <c r="P439" s="105"/>
      <c r="Q439" s="105"/>
      <c r="R439" s="105"/>
      <c r="S439" s="105"/>
      <c r="T439" s="105"/>
      <c r="U439" s="105"/>
      <c r="V439" s="105"/>
      <c r="W439" s="105"/>
      <c r="X439" s="105"/>
      <c r="Y439" s="105"/>
      <c r="Z439" s="105"/>
      <c r="AA439" s="105"/>
      <c r="AB439" s="105"/>
      <c r="AC439" s="105"/>
      <c r="AD439" s="105"/>
      <c r="AE439" s="105"/>
      <c r="AF439" s="105"/>
      <c r="AG439" s="105"/>
      <c r="AH439" s="105"/>
      <c r="AI439" s="105"/>
      <c r="AJ439" s="732"/>
    </row>
    <row r="440" spans="1:36" s="45" customFormat="1" ht="14">
      <c r="A440" s="103"/>
      <c r="B440" s="323"/>
      <c r="C440" s="118"/>
      <c r="D440" s="22"/>
      <c r="E440" s="118"/>
      <c r="F440" s="20" t="s">
        <v>37</v>
      </c>
      <c r="G440" s="4"/>
      <c r="H440" s="4"/>
      <c r="I440" s="5"/>
      <c r="J440" s="101">
        <f>SUM(J413:J439)</f>
        <v>455932585</v>
      </c>
      <c r="K440" s="101"/>
      <c r="L440" s="101">
        <f>SUM(L413:L439)</f>
        <v>455932585</v>
      </c>
      <c r="M440" s="101">
        <f t="shared" ref="M440:T440" si="471">SUM(M413:M439)</f>
        <v>0</v>
      </c>
      <c r="N440" s="101">
        <f t="shared" si="471"/>
        <v>0</v>
      </c>
      <c r="O440" s="101">
        <f t="shared" si="471"/>
        <v>0</v>
      </c>
      <c r="P440" s="101">
        <f t="shared" si="471"/>
        <v>38425200</v>
      </c>
      <c r="Q440" s="101">
        <f t="shared" si="471"/>
        <v>0</v>
      </c>
      <c r="R440" s="101">
        <f t="shared" si="471"/>
        <v>0</v>
      </c>
      <c r="S440" s="101">
        <f t="shared" si="471"/>
        <v>38425200</v>
      </c>
      <c r="T440" s="101">
        <f t="shared" si="471"/>
        <v>494357785</v>
      </c>
      <c r="U440" s="101"/>
      <c r="V440" s="101"/>
      <c r="W440" s="101">
        <f t="shared" ref="W440" si="472">SUM(W413:W439)</f>
        <v>32745350</v>
      </c>
      <c r="X440" s="101"/>
      <c r="Y440" s="101"/>
      <c r="Z440" s="101">
        <f t="shared" ref="Z440:AA440" si="473">SUM(Z413:Z439)</f>
        <v>32745350</v>
      </c>
      <c r="AA440" s="101">
        <f t="shared" si="473"/>
        <v>527103135</v>
      </c>
      <c r="AB440" s="101"/>
      <c r="AC440" s="101"/>
      <c r="AD440" s="101">
        <f t="shared" ref="AD440" si="474">SUM(AD413:AD439)</f>
        <v>-17203053</v>
      </c>
      <c r="AE440" s="101"/>
      <c r="AF440" s="101"/>
      <c r="AG440" s="101">
        <f t="shared" ref="AG440:AI440" si="475">SUM(AG413:AG439)</f>
        <v>-17203053</v>
      </c>
      <c r="AH440" s="101">
        <f t="shared" si="475"/>
        <v>509900082</v>
      </c>
      <c r="AI440" s="101">
        <f t="shared" si="475"/>
        <v>509900082</v>
      </c>
      <c r="AJ440" s="733">
        <f>AI440/AH440*100</f>
        <v>100</v>
      </c>
    </row>
    <row r="441" spans="1:36" s="45" customFormat="1" ht="20.25" customHeight="1">
      <c r="A441" s="103"/>
      <c r="B441" s="323"/>
      <c r="C441" s="118"/>
      <c r="D441" s="22"/>
      <c r="E441" s="118"/>
      <c r="F441" s="6"/>
      <c r="G441" s="7"/>
      <c r="H441" s="7"/>
      <c r="I441" s="8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734"/>
    </row>
    <row r="442" spans="1:36" s="45" customFormat="1" ht="14">
      <c r="A442" s="103">
        <v>2</v>
      </c>
      <c r="B442" s="43"/>
      <c r="C442" s="300"/>
      <c r="D442" s="103">
        <v>1</v>
      </c>
      <c r="E442" s="104"/>
      <c r="F442" s="690" t="s">
        <v>241</v>
      </c>
      <c r="G442" s="7"/>
      <c r="H442" s="7"/>
      <c r="I442" s="8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734"/>
    </row>
    <row r="443" spans="1:36" s="45" customFormat="1" ht="31.5" customHeight="1">
      <c r="A443" s="103"/>
      <c r="B443" s="323"/>
      <c r="C443" s="22">
        <v>1</v>
      </c>
      <c r="D443" s="22"/>
      <c r="E443" s="22" t="s">
        <v>199</v>
      </c>
      <c r="F443" s="690"/>
      <c r="G443" s="690"/>
      <c r="H443" s="858" t="s">
        <v>515</v>
      </c>
      <c r="I443" s="859"/>
      <c r="J443" s="105">
        <v>6500000</v>
      </c>
      <c r="K443" s="105"/>
      <c r="L443" s="105">
        <f>SUM(J443:K443)</f>
        <v>6500000</v>
      </c>
      <c r="M443" s="105"/>
      <c r="N443" s="105"/>
      <c r="O443" s="105"/>
      <c r="P443" s="105"/>
      <c r="Q443" s="105"/>
      <c r="R443" s="105"/>
      <c r="S443" s="105">
        <f t="shared" ref="S443:S447" si="476">SUM(M443:R443)</f>
        <v>0</v>
      </c>
      <c r="T443" s="105">
        <f t="shared" ref="T443:T447" si="477">S443+L443</f>
        <v>6500000</v>
      </c>
      <c r="U443" s="105"/>
      <c r="V443" s="105"/>
      <c r="W443" s="105"/>
      <c r="X443" s="105"/>
      <c r="Y443" s="105"/>
      <c r="Z443" s="105">
        <f t="shared" ref="Z443:Z453" si="478">SUM(U443:Y443)</f>
        <v>0</v>
      </c>
      <c r="AA443" s="105">
        <f t="shared" ref="AA443:AA453" si="479">Z443+T443</f>
        <v>6500000</v>
      </c>
      <c r="AB443" s="105"/>
      <c r="AC443" s="105"/>
      <c r="AD443" s="105"/>
      <c r="AE443" s="105"/>
      <c r="AF443" s="105"/>
      <c r="AG443" s="105">
        <f t="shared" ref="AG443:AG456" si="480">SUM(AB443:AF443)</f>
        <v>0</v>
      </c>
      <c r="AH443" s="105">
        <f t="shared" ref="AH443:AH456" si="481">AG443+AA443</f>
        <v>6500000</v>
      </c>
      <c r="AI443" s="105">
        <v>6500000</v>
      </c>
      <c r="AJ443" s="732">
        <f t="shared" ref="AJ443:AJ457" si="482">AI443/AH443*100</f>
        <v>100</v>
      </c>
    </row>
    <row r="444" spans="1:36" s="45" customFormat="1" ht="31.5" customHeight="1">
      <c r="A444" s="103"/>
      <c r="B444" s="323"/>
      <c r="C444" s="118">
        <v>2</v>
      </c>
      <c r="D444" s="22"/>
      <c r="E444" s="22" t="s">
        <v>199</v>
      </c>
      <c r="F444" s="690"/>
      <c r="G444" s="690"/>
      <c r="H444" s="858" t="s">
        <v>516</v>
      </c>
      <c r="I444" s="859"/>
      <c r="J444" s="105">
        <v>2260770</v>
      </c>
      <c r="K444" s="105"/>
      <c r="L444" s="105">
        <f>SUM(J444:K444)</f>
        <v>2260770</v>
      </c>
      <c r="M444" s="105"/>
      <c r="N444" s="105"/>
      <c r="O444" s="105"/>
      <c r="P444" s="105">
        <v>136404</v>
      </c>
      <c r="Q444" s="105"/>
      <c r="R444" s="105"/>
      <c r="S444" s="105">
        <f t="shared" si="476"/>
        <v>136404</v>
      </c>
      <c r="T444" s="105">
        <f t="shared" si="477"/>
        <v>2397174</v>
      </c>
      <c r="U444" s="105"/>
      <c r="V444" s="105"/>
      <c r="W444" s="105"/>
      <c r="X444" s="105"/>
      <c r="Y444" s="105"/>
      <c r="Z444" s="105">
        <f t="shared" si="478"/>
        <v>0</v>
      </c>
      <c r="AA444" s="105">
        <f t="shared" si="479"/>
        <v>2397174</v>
      </c>
      <c r="AB444" s="105"/>
      <c r="AC444" s="105"/>
      <c r="AD444" s="105"/>
      <c r="AE444" s="105"/>
      <c r="AF444" s="105"/>
      <c r="AG444" s="105">
        <f t="shared" si="480"/>
        <v>0</v>
      </c>
      <c r="AH444" s="105">
        <f t="shared" si="481"/>
        <v>2397174</v>
      </c>
      <c r="AI444" s="105">
        <v>2397174</v>
      </c>
      <c r="AJ444" s="732">
        <f t="shared" si="482"/>
        <v>100</v>
      </c>
    </row>
    <row r="445" spans="1:36" s="45" customFormat="1" ht="31.5" customHeight="1">
      <c r="A445" s="103"/>
      <c r="B445" s="323"/>
      <c r="C445" s="118">
        <v>3</v>
      </c>
      <c r="D445" s="22"/>
      <c r="E445" s="22" t="s">
        <v>199</v>
      </c>
      <c r="F445" s="690"/>
      <c r="G445" s="690"/>
      <c r="H445" s="858" t="s">
        <v>517</v>
      </c>
      <c r="I445" s="859" t="s">
        <v>517</v>
      </c>
      <c r="J445" s="105">
        <v>29738000</v>
      </c>
      <c r="K445" s="105"/>
      <c r="L445" s="105">
        <f t="shared" ref="L445:L447" si="483">SUM(J445:K445)</f>
        <v>29738000</v>
      </c>
      <c r="M445" s="105"/>
      <c r="N445" s="105"/>
      <c r="O445" s="105"/>
      <c r="P445" s="105"/>
      <c r="Q445" s="105"/>
      <c r="R445" s="105"/>
      <c r="S445" s="105">
        <f t="shared" si="476"/>
        <v>0</v>
      </c>
      <c r="T445" s="105">
        <f t="shared" si="477"/>
        <v>29738000</v>
      </c>
      <c r="U445" s="105"/>
      <c r="V445" s="105"/>
      <c r="W445" s="105"/>
      <c r="X445" s="105"/>
      <c r="Y445" s="105"/>
      <c r="Z445" s="105">
        <f t="shared" si="478"/>
        <v>0</v>
      </c>
      <c r="AA445" s="105">
        <f t="shared" si="479"/>
        <v>29738000</v>
      </c>
      <c r="AB445" s="105"/>
      <c r="AC445" s="105"/>
      <c r="AD445" s="105"/>
      <c r="AE445" s="105"/>
      <c r="AF445" s="105"/>
      <c r="AG445" s="105">
        <f t="shared" si="480"/>
        <v>0</v>
      </c>
      <c r="AH445" s="105">
        <f t="shared" si="481"/>
        <v>29738000</v>
      </c>
      <c r="AI445" s="105">
        <v>29738000</v>
      </c>
      <c r="AJ445" s="732">
        <f t="shared" si="482"/>
        <v>100</v>
      </c>
    </row>
    <row r="446" spans="1:36" s="45" customFormat="1" ht="31.5" customHeight="1">
      <c r="A446" s="273"/>
      <c r="B446" s="323"/>
      <c r="C446" s="118">
        <v>4</v>
      </c>
      <c r="D446" s="22"/>
      <c r="E446" s="22" t="s">
        <v>199</v>
      </c>
      <c r="F446" s="690"/>
      <c r="G446" s="690"/>
      <c r="H446" s="858" t="s">
        <v>518</v>
      </c>
      <c r="I446" s="859" t="s">
        <v>518</v>
      </c>
      <c r="J446" s="105">
        <v>900993000</v>
      </c>
      <c r="K446" s="156"/>
      <c r="L446" s="105">
        <f t="shared" si="483"/>
        <v>900993000</v>
      </c>
      <c r="M446" s="105"/>
      <c r="N446" s="105"/>
      <c r="O446" s="105"/>
      <c r="P446" s="105"/>
      <c r="Q446" s="105"/>
      <c r="R446" s="105"/>
      <c r="S446" s="105">
        <f t="shared" si="476"/>
        <v>0</v>
      </c>
      <c r="T446" s="105">
        <f t="shared" si="477"/>
        <v>900993000</v>
      </c>
      <c r="U446" s="105"/>
      <c r="V446" s="105"/>
      <c r="W446" s="105"/>
      <c r="X446" s="105"/>
      <c r="Y446" s="105"/>
      <c r="Z446" s="105">
        <f t="shared" si="478"/>
        <v>0</v>
      </c>
      <c r="AA446" s="105">
        <f t="shared" si="479"/>
        <v>900993000</v>
      </c>
      <c r="AB446" s="105"/>
      <c r="AC446" s="105"/>
      <c r="AD446" s="105"/>
      <c r="AE446" s="105"/>
      <c r="AF446" s="105"/>
      <c r="AG446" s="105">
        <f t="shared" si="480"/>
        <v>0</v>
      </c>
      <c r="AH446" s="105">
        <f t="shared" si="481"/>
        <v>900993000</v>
      </c>
      <c r="AI446" s="105">
        <v>900993000</v>
      </c>
      <c r="AJ446" s="732">
        <f t="shared" si="482"/>
        <v>100</v>
      </c>
    </row>
    <row r="447" spans="1:36" s="45" customFormat="1" ht="31.5" customHeight="1">
      <c r="A447" s="273"/>
      <c r="B447" s="323"/>
      <c r="C447" s="118">
        <v>5</v>
      </c>
      <c r="D447" s="22"/>
      <c r="E447" s="22" t="s">
        <v>199</v>
      </c>
      <c r="F447" s="690"/>
      <c r="G447" s="690"/>
      <c r="H447" s="858" t="s">
        <v>519</v>
      </c>
      <c r="I447" s="859" t="s">
        <v>519</v>
      </c>
      <c r="J447" s="105">
        <v>175275000</v>
      </c>
      <c r="K447" s="156"/>
      <c r="L447" s="105">
        <f t="shared" si="483"/>
        <v>175275000</v>
      </c>
      <c r="M447" s="105"/>
      <c r="N447" s="105"/>
      <c r="O447" s="105"/>
      <c r="P447" s="105"/>
      <c r="Q447" s="105"/>
      <c r="R447" s="105"/>
      <c r="S447" s="105">
        <f t="shared" si="476"/>
        <v>0</v>
      </c>
      <c r="T447" s="105">
        <f t="shared" si="477"/>
        <v>175275000</v>
      </c>
      <c r="U447" s="105"/>
      <c r="V447" s="105"/>
      <c r="W447" s="105"/>
      <c r="X447" s="105"/>
      <c r="Y447" s="105"/>
      <c r="Z447" s="105">
        <f t="shared" si="478"/>
        <v>0</v>
      </c>
      <c r="AA447" s="105">
        <f t="shared" si="479"/>
        <v>175275000</v>
      </c>
      <c r="AB447" s="105"/>
      <c r="AC447" s="105"/>
      <c r="AD447" s="105">
        <v>-122508000</v>
      </c>
      <c r="AE447" s="105"/>
      <c r="AF447" s="105"/>
      <c r="AG447" s="105">
        <f t="shared" si="480"/>
        <v>-122508000</v>
      </c>
      <c r="AH447" s="105">
        <f t="shared" si="481"/>
        <v>52767000</v>
      </c>
      <c r="AI447" s="105">
        <v>52767000</v>
      </c>
      <c r="AJ447" s="732">
        <f t="shared" si="482"/>
        <v>100</v>
      </c>
    </row>
    <row r="448" spans="1:36" s="45" customFormat="1" ht="14">
      <c r="A448" s="273"/>
      <c r="B448" s="323"/>
      <c r="C448" s="118">
        <v>6</v>
      </c>
      <c r="D448" s="155"/>
      <c r="E448" s="118" t="s">
        <v>199</v>
      </c>
      <c r="F448" s="690"/>
      <c r="G448" s="690"/>
      <c r="H448" s="858" t="s">
        <v>644</v>
      </c>
      <c r="I448" s="859" t="s">
        <v>519</v>
      </c>
      <c r="J448" s="156"/>
      <c r="K448" s="156"/>
      <c r="L448" s="156"/>
      <c r="M448" s="156"/>
      <c r="N448" s="156"/>
      <c r="O448" s="156"/>
      <c r="P448" s="156"/>
      <c r="Q448" s="156"/>
      <c r="R448" s="156"/>
      <c r="S448" s="105">
        <f t="shared" ref="S448:S453" si="484">SUM(M448:R448)</f>
        <v>0</v>
      </c>
      <c r="T448" s="105">
        <f t="shared" ref="T448:T453" si="485">S448+L448</f>
        <v>0</v>
      </c>
      <c r="U448" s="156"/>
      <c r="V448" s="156"/>
      <c r="W448" s="156"/>
      <c r="X448" s="156"/>
      <c r="Y448" s="156"/>
      <c r="Z448" s="105">
        <f t="shared" si="478"/>
        <v>0</v>
      </c>
      <c r="AA448" s="105">
        <f t="shared" si="479"/>
        <v>0</v>
      </c>
      <c r="AB448" s="156"/>
      <c r="AC448" s="156"/>
      <c r="AD448" s="156">
        <v>1984617</v>
      </c>
      <c r="AE448" s="156"/>
      <c r="AF448" s="156"/>
      <c r="AG448" s="105">
        <f t="shared" si="480"/>
        <v>1984617</v>
      </c>
      <c r="AH448" s="105">
        <f t="shared" si="481"/>
        <v>1984617</v>
      </c>
      <c r="AI448" s="105">
        <v>1984617</v>
      </c>
      <c r="AJ448" s="732">
        <f t="shared" si="482"/>
        <v>100</v>
      </c>
    </row>
    <row r="449" spans="1:36" s="45" customFormat="1" ht="14">
      <c r="A449" s="273"/>
      <c r="B449" s="323"/>
      <c r="C449" s="118">
        <v>7</v>
      </c>
      <c r="D449" s="22"/>
      <c r="E449" s="22" t="s">
        <v>199</v>
      </c>
      <c r="F449" s="690"/>
      <c r="G449" s="690"/>
      <c r="H449" s="858" t="s">
        <v>634</v>
      </c>
      <c r="I449" s="859"/>
      <c r="J449" s="156"/>
      <c r="K449" s="156"/>
      <c r="L449" s="156"/>
      <c r="M449" s="156"/>
      <c r="N449" s="156"/>
      <c r="O449" s="156"/>
      <c r="P449" s="156">
        <v>13306125</v>
      </c>
      <c r="Q449" s="156"/>
      <c r="R449" s="156"/>
      <c r="S449" s="105">
        <f t="shared" si="484"/>
        <v>13306125</v>
      </c>
      <c r="T449" s="105">
        <f t="shared" si="485"/>
        <v>13306125</v>
      </c>
      <c r="U449" s="156"/>
      <c r="V449" s="156"/>
      <c r="W449" s="156">
        <v>5030176</v>
      </c>
      <c r="X449" s="156"/>
      <c r="Y449" s="156"/>
      <c r="Z449" s="105">
        <f t="shared" si="478"/>
        <v>5030176</v>
      </c>
      <c r="AA449" s="105">
        <f t="shared" si="479"/>
        <v>18336301</v>
      </c>
      <c r="AB449" s="156"/>
      <c r="AC449" s="156"/>
      <c r="AD449" s="156">
        <v>5296865</v>
      </c>
      <c r="AE449" s="156"/>
      <c r="AF449" s="156"/>
      <c r="AG449" s="105">
        <f t="shared" si="480"/>
        <v>5296865</v>
      </c>
      <c r="AH449" s="105">
        <f t="shared" si="481"/>
        <v>23633166</v>
      </c>
      <c r="AI449" s="105">
        <v>23633166</v>
      </c>
      <c r="AJ449" s="732">
        <f t="shared" si="482"/>
        <v>100</v>
      </c>
    </row>
    <row r="450" spans="1:36" s="45" customFormat="1" ht="31.5" customHeight="1">
      <c r="A450" s="273"/>
      <c r="B450" s="323"/>
      <c r="C450" s="118">
        <v>8</v>
      </c>
      <c r="D450" s="155"/>
      <c r="E450" s="118" t="s">
        <v>199</v>
      </c>
      <c r="F450" s="690"/>
      <c r="G450" s="690"/>
      <c r="H450" s="858" t="s">
        <v>635</v>
      </c>
      <c r="I450" s="859"/>
      <c r="J450" s="156"/>
      <c r="K450" s="156"/>
      <c r="L450" s="156"/>
      <c r="M450" s="156"/>
      <c r="N450" s="156"/>
      <c r="O450" s="156"/>
      <c r="P450" s="156">
        <v>692062</v>
      </c>
      <c r="Q450" s="156"/>
      <c r="R450" s="156"/>
      <c r="S450" s="105">
        <f t="shared" si="484"/>
        <v>692062</v>
      </c>
      <c r="T450" s="105">
        <f t="shared" si="485"/>
        <v>692062</v>
      </c>
      <c r="U450" s="156"/>
      <c r="V450" s="156"/>
      <c r="W450" s="156"/>
      <c r="X450" s="156"/>
      <c r="Y450" s="156"/>
      <c r="Z450" s="105">
        <f t="shared" si="478"/>
        <v>0</v>
      </c>
      <c r="AA450" s="105">
        <f t="shared" si="479"/>
        <v>692062</v>
      </c>
      <c r="AB450" s="156"/>
      <c r="AC450" s="156"/>
      <c r="AD450" s="156"/>
      <c r="AE450" s="156"/>
      <c r="AF450" s="156"/>
      <c r="AG450" s="105">
        <f t="shared" si="480"/>
        <v>0</v>
      </c>
      <c r="AH450" s="105">
        <f t="shared" si="481"/>
        <v>692062</v>
      </c>
      <c r="AI450" s="105">
        <v>692062</v>
      </c>
      <c r="AJ450" s="732">
        <f t="shared" si="482"/>
        <v>100</v>
      </c>
    </row>
    <row r="451" spans="1:36" s="45" customFormat="1" ht="31.5" customHeight="1">
      <c r="A451" s="273"/>
      <c r="B451" s="323"/>
      <c r="C451" s="118">
        <v>9</v>
      </c>
      <c r="D451" s="22"/>
      <c r="E451" s="22" t="s">
        <v>198</v>
      </c>
      <c r="F451" s="690"/>
      <c r="G451" s="690"/>
      <c r="H451" s="858" t="s">
        <v>636</v>
      </c>
      <c r="I451" s="859"/>
      <c r="J451" s="156"/>
      <c r="K451" s="156"/>
      <c r="L451" s="156"/>
      <c r="M451" s="156"/>
      <c r="N451" s="156"/>
      <c r="O451" s="156"/>
      <c r="P451" s="156">
        <v>855000</v>
      </c>
      <c r="Q451" s="156"/>
      <c r="R451" s="156"/>
      <c r="S451" s="105">
        <f t="shared" si="484"/>
        <v>855000</v>
      </c>
      <c r="T451" s="105">
        <f t="shared" si="485"/>
        <v>855000</v>
      </c>
      <c r="U451" s="156"/>
      <c r="V451" s="156"/>
      <c r="W451" s="156"/>
      <c r="X451" s="156"/>
      <c r="Y451" s="156"/>
      <c r="Z451" s="105">
        <f t="shared" si="478"/>
        <v>0</v>
      </c>
      <c r="AA451" s="105">
        <f t="shared" si="479"/>
        <v>855000</v>
      </c>
      <c r="AB451" s="156"/>
      <c r="AC451" s="156"/>
      <c r="AD451" s="156"/>
      <c r="AE451" s="156"/>
      <c r="AF451" s="156"/>
      <c r="AG451" s="105">
        <f t="shared" si="480"/>
        <v>0</v>
      </c>
      <c r="AH451" s="105">
        <f t="shared" si="481"/>
        <v>855000</v>
      </c>
      <c r="AI451" s="105">
        <v>855000</v>
      </c>
      <c r="AJ451" s="732">
        <f t="shared" si="482"/>
        <v>100</v>
      </c>
    </row>
    <row r="452" spans="1:36" s="45" customFormat="1" ht="31.5" customHeight="1">
      <c r="A452" s="273"/>
      <c r="B452" s="323"/>
      <c r="C452" s="118">
        <v>10</v>
      </c>
      <c r="D452" s="155"/>
      <c r="E452" s="118" t="s">
        <v>198</v>
      </c>
      <c r="F452" s="690"/>
      <c r="G452" s="690"/>
      <c r="H452" s="858" t="s">
        <v>637</v>
      </c>
      <c r="I452" s="859"/>
      <c r="J452" s="156"/>
      <c r="K452" s="156"/>
      <c r="L452" s="156"/>
      <c r="M452" s="156"/>
      <c r="N452" s="156"/>
      <c r="O452" s="156"/>
      <c r="P452" s="156">
        <v>855000</v>
      </c>
      <c r="Q452" s="156"/>
      <c r="R452" s="156"/>
      <c r="S452" s="105">
        <f t="shared" si="484"/>
        <v>855000</v>
      </c>
      <c r="T452" s="105">
        <f t="shared" si="485"/>
        <v>855000</v>
      </c>
      <c r="U452" s="156"/>
      <c r="V452" s="156"/>
      <c r="W452" s="156"/>
      <c r="X452" s="156"/>
      <c r="Y452" s="156"/>
      <c r="Z452" s="105">
        <f t="shared" si="478"/>
        <v>0</v>
      </c>
      <c r="AA452" s="105">
        <f t="shared" si="479"/>
        <v>855000</v>
      </c>
      <c r="AB452" s="156"/>
      <c r="AC452" s="156"/>
      <c r="AD452" s="156"/>
      <c r="AE452" s="156"/>
      <c r="AF452" s="156"/>
      <c r="AG452" s="105">
        <f t="shared" si="480"/>
        <v>0</v>
      </c>
      <c r="AH452" s="105">
        <f t="shared" si="481"/>
        <v>855000</v>
      </c>
      <c r="AI452" s="105">
        <v>855000</v>
      </c>
      <c r="AJ452" s="732">
        <f t="shared" si="482"/>
        <v>100</v>
      </c>
    </row>
    <row r="453" spans="1:36" s="45" customFormat="1" ht="31.5" customHeight="1">
      <c r="A453" s="273"/>
      <c r="B453" s="323"/>
      <c r="C453" s="118">
        <v>11</v>
      </c>
      <c r="D453" s="22"/>
      <c r="E453" s="22" t="s">
        <v>199</v>
      </c>
      <c r="F453" s="690"/>
      <c r="G453" s="690"/>
      <c r="H453" s="858" t="s">
        <v>638</v>
      </c>
      <c r="I453" s="859"/>
      <c r="J453" s="156"/>
      <c r="K453" s="156"/>
      <c r="L453" s="156"/>
      <c r="M453" s="156"/>
      <c r="N453" s="156"/>
      <c r="O453" s="156"/>
      <c r="P453" s="156">
        <v>3698000</v>
      </c>
      <c r="Q453" s="156"/>
      <c r="R453" s="156"/>
      <c r="S453" s="105">
        <f t="shared" si="484"/>
        <v>3698000</v>
      </c>
      <c r="T453" s="105">
        <f t="shared" si="485"/>
        <v>3698000</v>
      </c>
      <c r="U453" s="156"/>
      <c r="V453" s="156"/>
      <c r="W453" s="156"/>
      <c r="X453" s="156"/>
      <c r="Y453" s="156"/>
      <c r="Z453" s="105">
        <f t="shared" si="478"/>
        <v>0</v>
      </c>
      <c r="AA453" s="105">
        <f t="shared" si="479"/>
        <v>3698000</v>
      </c>
      <c r="AB453" s="156"/>
      <c r="AC453" s="156"/>
      <c r="AD453" s="156"/>
      <c r="AE453" s="156"/>
      <c r="AF453" s="156"/>
      <c r="AG453" s="105">
        <f t="shared" si="480"/>
        <v>0</v>
      </c>
      <c r="AH453" s="105">
        <f t="shared" si="481"/>
        <v>3698000</v>
      </c>
      <c r="AI453" s="105">
        <v>3698000</v>
      </c>
      <c r="AJ453" s="732">
        <f t="shared" si="482"/>
        <v>100</v>
      </c>
    </row>
    <row r="454" spans="1:36" s="45" customFormat="1" ht="18.5" customHeight="1">
      <c r="A454" s="273"/>
      <c r="B454" s="647"/>
      <c r="C454" s="118">
        <v>12</v>
      </c>
      <c r="D454" s="155"/>
      <c r="E454" s="648" t="s">
        <v>250</v>
      </c>
      <c r="F454" s="690"/>
      <c r="G454" s="690"/>
      <c r="H454" s="858" t="s">
        <v>666</v>
      </c>
      <c r="I454" s="859"/>
      <c r="J454" s="156"/>
      <c r="K454" s="156"/>
      <c r="L454" s="156"/>
      <c r="M454" s="156"/>
      <c r="N454" s="156"/>
      <c r="O454" s="156"/>
      <c r="P454" s="156"/>
      <c r="Q454" s="156"/>
      <c r="R454" s="156"/>
      <c r="S454" s="156"/>
      <c r="T454" s="156"/>
      <c r="U454" s="156"/>
      <c r="V454" s="156"/>
      <c r="W454" s="156">
        <v>4048000</v>
      </c>
      <c r="X454" s="156"/>
      <c r="Y454" s="156"/>
      <c r="Z454" s="105">
        <f t="shared" ref="Z454:Z456" si="486">SUM(U454:Y454)</f>
        <v>4048000</v>
      </c>
      <c r="AA454" s="105">
        <f t="shared" ref="AA454:AA456" si="487">Z454+T454</f>
        <v>4048000</v>
      </c>
      <c r="AB454" s="156"/>
      <c r="AC454" s="156"/>
      <c r="AD454" s="156">
        <v>3511000</v>
      </c>
      <c r="AE454" s="156"/>
      <c r="AF454" s="156"/>
      <c r="AG454" s="105">
        <f t="shared" si="480"/>
        <v>3511000</v>
      </c>
      <c r="AH454" s="105">
        <f t="shared" si="481"/>
        <v>7559000</v>
      </c>
      <c r="AI454" s="105">
        <v>7559000</v>
      </c>
      <c r="AJ454" s="732">
        <f t="shared" si="482"/>
        <v>100</v>
      </c>
    </row>
    <row r="455" spans="1:36" s="45" customFormat="1" ht="31.5" customHeight="1">
      <c r="A455" s="273"/>
      <c r="B455" s="647"/>
      <c r="C455" s="118">
        <v>13</v>
      </c>
      <c r="D455" s="155"/>
      <c r="E455" s="648" t="s">
        <v>198</v>
      </c>
      <c r="F455" s="690"/>
      <c r="G455" s="690"/>
      <c r="H455" s="858" t="s">
        <v>671</v>
      </c>
      <c r="I455" s="859"/>
      <c r="J455" s="156"/>
      <c r="K455" s="156"/>
      <c r="L455" s="156"/>
      <c r="M455" s="156"/>
      <c r="N455" s="156"/>
      <c r="O455" s="156"/>
      <c r="P455" s="156"/>
      <c r="Q455" s="156"/>
      <c r="R455" s="156"/>
      <c r="S455" s="156"/>
      <c r="T455" s="156"/>
      <c r="U455" s="156"/>
      <c r="V455" s="156"/>
      <c r="W455" s="156">
        <v>9821555</v>
      </c>
      <c r="X455" s="156"/>
      <c r="Y455" s="156"/>
      <c r="Z455" s="105">
        <f t="shared" si="486"/>
        <v>9821555</v>
      </c>
      <c r="AA455" s="105">
        <f t="shared" si="487"/>
        <v>9821555</v>
      </c>
      <c r="AB455" s="156"/>
      <c r="AC455" s="156"/>
      <c r="AD455" s="156"/>
      <c r="AE455" s="156"/>
      <c r="AF455" s="156"/>
      <c r="AG455" s="105">
        <f t="shared" si="480"/>
        <v>0</v>
      </c>
      <c r="AH455" s="105">
        <f t="shared" si="481"/>
        <v>9821555</v>
      </c>
      <c r="AI455" s="105">
        <v>9821555</v>
      </c>
      <c r="AJ455" s="732">
        <f t="shared" si="482"/>
        <v>100</v>
      </c>
    </row>
    <row r="456" spans="1:36" s="45" customFormat="1" ht="31.5" customHeight="1">
      <c r="A456" s="273"/>
      <c r="B456" s="647"/>
      <c r="C456" s="118">
        <v>14</v>
      </c>
      <c r="D456" s="155"/>
      <c r="E456" s="648" t="s">
        <v>199</v>
      </c>
      <c r="F456" s="690"/>
      <c r="G456" s="690"/>
      <c r="H456" s="858" t="s">
        <v>667</v>
      </c>
      <c r="I456" s="859"/>
      <c r="J456" s="156"/>
      <c r="K456" s="156"/>
      <c r="L456" s="156"/>
      <c r="M456" s="156"/>
      <c r="N456" s="156"/>
      <c r="O456" s="156"/>
      <c r="P456" s="156"/>
      <c r="Q456" s="156"/>
      <c r="R456" s="156"/>
      <c r="S456" s="156"/>
      <c r="T456" s="156"/>
      <c r="U456" s="156"/>
      <c r="V456" s="156"/>
      <c r="W456" s="156">
        <v>2500000</v>
      </c>
      <c r="X456" s="156"/>
      <c r="Y456" s="156"/>
      <c r="Z456" s="105">
        <f t="shared" si="486"/>
        <v>2500000</v>
      </c>
      <c r="AA456" s="105">
        <f t="shared" si="487"/>
        <v>2500000</v>
      </c>
      <c r="AB456" s="156"/>
      <c r="AC456" s="156"/>
      <c r="AD456" s="156"/>
      <c r="AE456" s="156"/>
      <c r="AF456" s="156"/>
      <c r="AG456" s="105">
        <f t="shared" si="480"/>
        <v>0</v>
      </c>
      <c r="AH456" s="105">
        <f t="shared" si="481"/>
        <v>2500000</v>
      </c>
      <c r="AI456" s="105">
        <v>2500000</v>
      </c>
      <c r="AJ456" s="732">
        <f t="shared" si="482"/>
        <v>100</v>
      </c>
    </row>
    <row r="457" spans="1:36" s="45" customFormat="1" ht="31.5" customHeight="1">
      <c r="A457" s="273"/>
      <c r="B457" s="719"/>
      <c r="C457" s="118">
        <v>15</v>
      </c>
      <c r="D457" s="155"/>
      <c r="E457" s="720" t="s">
        <v>198</v>
      </c>
      <c r="F457" s="714"/>
      <c r="G457" s="714"/>
      <c r="H457" s="858" t="s">
        <v>686</v>
      </c>
      <c r="I457" s="859"/>
      <c r="J457" s="156"/>
      <c r="K457" s="156"/>
      <c r="L457" s="156"/>
      <c r="M457" s="156"/>
      <c r="N457" s="156"/>
      <c r="O457" s="156"/>
      <c r="P457" s="156"/>
      <c r="Q457" s="156"/>
      <c r="R457" s="156"/>
      <c r="S457" s="156"/>
      <c r="T457" s="156"/>
      <c r="U457" s="156"/>
      <c r="V457" s="156"/>
      <c r="W457" s="156"/>
      <c r="X457" s="156"/>
      <c r="Y457" s="156"/>
      <c r="Z457" s="156"/>
      <c r="AA457" s="156"/>
      <c r="AB457" s="156"/>
      <c r="AC457" s="156"/>
      <c r="AD457" s="156">
        <v>1000000</v>
      </c>
      <c r="AE457" s="156"/>
      <c r="AF457" s="156"/>
      <c r="AG457" s="105">
        <f t="shared" ref="AG457" si="488">SUM(AB457:AF457)</f>
        <v>1000000</v>
      </c>
      <c r="AH457" s="105">
        <f t="shared" ref="AH457" si="489">AG457+AA457</f>
        <v>1000000</v>
      </c>
      <c r="AI457" s="156">
        <v>1000000</v>
      </c>
      <c r="AJ457" s="732">
        <f t="shared" si="482"/>
        <v>100</v>
      </c>
    </row>
    <row r="458" spans="1:36" s="45" customFormat="1" ht="14">
      <c r="A458" s="103"/>
      <c r="B458" s="323"/>
      <c r="C458" s="118"/>
      <c r="D458" s="22"/>
      <c r="E458" s="118"/>
      <c r="F458" s="6"/>
      <c r="G458" s="7"/>
      <c r="H458" s="689"/>
      <c r="J458" s="105"/>
      <c r="K458" s="46"/>
      <c r="L458" s="105"/>
      <c r="M458" s="105"/>
      <c r="N458" s="105"/>
      <c r="O458" s="105"/>
      <c r="P458" s="105"/>
      <c r="Q458" s="105"/>
      <c r="R458" s="105"/>
      <c r="S458" s="105"/>
      <c r="T458" s="105"/>
      <c r="U458" s="105"/>
      <c r="V458" s="105"/>
      <c r="W458" s="105"/>
      <c r="X458" s="105"/>
      <c r="Y458" s="105"/>
      <c r="Z458" s="105"/>
      <c r="AA458" s="105"/>
      <c r="AB458" s="105"/>
      <c r="AC458" s="105"/>
      <c r="AD458" s="105"/>
      <c r="AE458" s="105"/>
      <c r="AF458" s="105"/>
      <c r="AG458" s="105"/>
      <c r="AH458" s="105"/>
      <c r="AI458" s="105"/>
      <c r="AJ458" s="732"/>
    </row>
    <row r="459" spans="1:36" s="45" customFormat="1" ht="14">
      <c r="A459" s="103"/>
      <c r="B459" s="323"/>
      <c r="C459" s="118"/>
      <c r="D459" s="22"/>
      <c r="E459" s="118"/>
      <c r="F459" s="20" t="s">
        <v>37</v>
      </c>
      <c r="G459" s="4"/>
      <c r="H459" s="4"/>
      <c r="I459" s="5"/>
      <c r="J459" s="101">
        <f>SUM(J443:J447)</f>
        <v>1114766770</v>
      </c>
      <c r="K459" s="101"/>
      <c r="L459" s="101">
        <f>SUM(L443:L453)</f>
        <v>1114766770</v>
      </c>
      <c r="M459" s="101">
        <f t="shared" ref="M459:O459" si="490">SUM(M443:M453)</f>
        <v>0</v>
      </c>
      <c r="N459" s="101">
        <f t="shared" si="490"/>
        <v>0</v>
      </c>
      <c r="O459" s="101">
        <f t="shared" si="490"/>
        <v>0</v>
      </c>
      <c r="P459" s="101">
        <f>SUM(P443:P453)</f>
        <v>19542591</v>
      </c>
      <c r="Q459" s="101">
        <f t="shared" ref="Q459:T459" si="491">SUM(Q443:Q453)</f>
        <v>0</v>
      </c>
      <c r="R459" s="101">
        <f t="shared" si="491"/>
        <v>0</v>
      </c>
      <c r="S459" s="101">
        <f t="shared" si="491"/>
        <v>19542591</v>
      </c>
      <c r="T459" s="101">
        <f t="shared" si="491"/>
        <v>1134309361</v>
      </c>
      <c r="U459" s="101"/>
      <c r="V459" s="101"/>
      <c r="W459" s="101">
        <f>SUM(W443:W456)</f>
        <v>21399731</v>
      </c>
      <c r="X459" s="101">
        <f t="shared" ref="X459:AA459" si="492">SUM(X443:X456)</f>
        <v>0</v>
      </c>
      <c r="Y459" s="101">
        <f t="shared" si="492"/>
        <v>0</v>
      </c>
      <c r="Z459" s="101">
        <f t="shared" si="492"/>
        <v>21399731</v>
      </c>
      <c r="AA459" s="101">
        <f t="shared" si="492"/>
        <v>1155709092</v>
      </c>
      <c r="AB459" s="101"/>
      <c r="AC459" s="101"/>
      <c r="AD459" s="101">
        <f>SUM(AD443:AD457)</f>
        <v>-110715518</v>
      </c>
      <c r="AE459" s="101">
        <f t="shared" ref="AE459:AF459" si="493">SUM(AE443:AE456)</f>
        <v>0</v>
      </c>
      <c r="AF459" s="101">
        <f t="shared" si="493"/>
        <v>0</v>
      </c>
      <c r="AG459" s="101">
        <f>SUM(AG443:AG457)</f>
        <v>-110715518</v>
      </c>
      <c r="AH459" s="101">
        <f>SUM(AH443:AH457)</f>
        <v>1044993574</v>
      </c>
      <c r="AI459" s="101">
        <f>SUM(AI443:AI457)</f>
        <v>1044993574</v>
      </c>
      <c r="AJ459" s="733">
        <f>AI459/AH459*100</f>
        <v>100</v>
      </c>
    </row>
    <row r="460" spans="1:36" s="45" customFormat="1" ht="9.5" customHeight="1">
      <c r="A460" s="103"/>
      <c r="B460" s="323"/>
      <c r="C460" s="118"/>
      <c r="D460" s="22"/>
      <c r="E460" s="118"/>
      <c r="F460" s="6"/>
      <c r="G460" s="7"/>
      <c r="H460" s="7"/>
      <c r="I460" s="8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734"/>
    </row>
    <row r="461" spans="1:36" s="45" customFormat="1" ht="18" customHeight="1">
      <c r="A461" s="103">
        <v>3</v>
      </c>
      <c r="B461" s="323"/>
      <c r="C461" s="118"/>
      <c r="D461" s="271">
        <v>2</v>
      </c>
      <c r="E461" s="118"/>
      <c r="F461" s="927" t="s">
        <v>242</v>
      </c>
      <c r="G461" s="909"/>
      <c r="H461" s="909"/>
      <c r="I461" s="910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734"/>
    </row>
    <row r="462" spans="1:36" s="45" customFormat="1" ht="18.5" customHeight="1">
      <c r="A462" s="103"/>
      <c r="B462" s="323"/>
      <c r="C462" s="22">
        <v>1</v>
      </c>
      <c r="D462" s="343"/>
      <c r="E462" s="118" t="s">
        <v>199</v>
      </c>
      <c r="F462" s="6"/>
      <c r="G462" s="7"/>
      <c r="H462" s="858" t="s">
        <v>331</v>
      </c>
      <c r="I462" s="859"/>
      <c r="J462" s="46"/>
      <c r="K462" s="119">
        <v>300000</v>
      </c>
      <c r="L462" s="119">
        <f>SUM(J462:K462)</f>
        <v>300000</v>
      </c>
      <c r="M462" s="119"/>
      <c r="N462" s="119"/>
      <c r="O462" s="119"/>
      <c r="P462" s="119"/>
      <c r="Q462" s="119"/>
      <c r="R462" s="119"/>
      <c r="S462" s="105">
        <f t="shared" ref="S462:S483" si="494">SUM(M462:R462)</f>
        <v>0</v>
      </c>
      <c r="T462" s="105">
        <f t="shared" ref="T462:T483" si="495">S462+L462</f>
        <v>300000</v>
      </c>
      <c r="U462" s="119"/>
      <c r="V462" s="119"/>
      <c r="W462" s="119"/>
      <c r="X462" s="119"/>
      <c r="Y462" s="119"/>
      <c r="Z462" s="105">
        <f t="shared" ref="Z462:Z484" si="496">SUM(U462:Y462)</f>
        <v>0</v>
      </c>
      <c r="AA462" s="105">
        <f t="shared" ref="AA462:AA484" si="497">Z462+T462</f>
        <v>300000</v>
      </c>
      <c r="AB462" s="119"/>
      <c r="AC462" s="119"/>
      <c r="AD462" s="119">
        <v>-194038</v>
      </c>
      <c r="AE462" s="119"/>
      <c r="AF462" s="119"/>
      <c r="AG462" s="105">
        <f t="shared" ref="AG462:AG485" si="498">SUM(AB462:AF462)</f>
        <v>-194038</v>
      </c>
      <c r="AH462" s="105">
        <f t="shared" ref="AH462:AH485" si="499">AG462+AA462</f>
        <v>105962</v>
      </c>
      <c r="AI462" s="105">
        <v>105962</v>
      </c>
      <c r="AJ462" s="732">
        <f>AI462/AH462*100</f>
        <v>100</v>
      </c>
    </row>
    <row r="463" spans="1:36" s="45" customFormat="1" ht="46" customHeight="1">
      <c r="A463" s="273"/>
      <c r="B463" s="323"/>
      <c r="C463" s="118">
        <v>2</v>
      </c>
      <c r="D463" s="344"/>
      <c r="E463" s="118" t="s">
        <v>198</v>
      </c>
      <c r="F463" s="6"/>
      <c r="G463" s="7"/>
      <c r="H463" s="858" t="s">
        <v>495</v>
      </c>
      <c r="I463" s="859"/>
      <c r="J463" s="157"/>
      <c r="K463" s="158">
        <v>927805</v>
      </c>
      <c r="L463" s="119">
        <f t="shared" ref="L463:L483" si="500">SUM(J463:K463)</f>
        <v>927805</v>
      </c>
      <c r="M463" s="119"/>
      <c r="N463" s="119"/>
      <c r="O463" s="119"/>
      <c r="P463" s="119"/>
      <c r="Q463" s="119"/>
      <c r="R463" s="119"/>
      <c r="S463" s="105">
        <f t="shared" si="494"/>
        <v>0</v>
      </c>
      <c r="T463" s="105">
        <f t="shared" si="495"/>
        <v>927805</v>
      </c>
      <c r="U463" s="119"/>
      <c r="V463" s="119"/>
      <c r="W463" s="119"/>
      <c r="X463" s="119"/>
      <c r="Y463" s="119"/>
      <c r="Z463" s="105">
        <f t="shared" si="496"/>
        <v>0</v>
      </c>
      <c r="AA463" s="105">
        <f t="shared" si="497"/>
        <v>927805</v>
      </c>
      <c r="AB463" s="119"/>
      <c r="AC463" s="119"/>
      <c r="AD463" s="119"/>
      <c r="AE463" s="119"/>
      <c r="AF463" s="119"/>
      <c r="AG463" s="105">
        <f t="shared" si="498"/>
        <v>0</v>
      </c>
      <c r="AH463" s="105">
        <f t="shared" si="499"/>
        <v>927805</v>
      </c>
      <c r="AI463" s="105">
        <v>927805</v>
      </c>
      <c r="AJ463" s="732">
        <f>AI463/AH463*100</f>
        <v>100</v>
      </c>
    </row>
    <row r="464" spans="1:36" s="45" customFormat="1" ht="33.5" customHeight="1">
      <c r="A464" s="273"/>
      <c r="B464" s="323"/>
      <c r="C464" s="118">
        <v>3</v>
      </c>
      <c r="D464" s="344"/>
      <c r="E464" s="118" t="s">
        <v>199</v>
      </c>
      <c r="F464" s="6"/>
      <c r="G464" s="7"/>
      <c r="H464" s="858" t="s">
        <v>496</v>
      </c>
      <c r="I464" s="859"/>
      <c r="J464" s="157"/>
      <c r="K464" s="158">
        <v>93033246</v>
      </c>
      <c r="L464" s="119">
        <f t="shared" si="500"/>
        <v>93033246</v>
      </c>
      <c r="M464" s="119"/>
      <c r="N464" s="119"/>
      <c r="O464" s="119"/>
      <c r="P464" s="119"/>
      <c r="Q464" s="119"/>
      <c r="R464" s="119"/>
      <c r="S464" s="105">
        <f t="shared" si="494"/>
        <v>0</v>
      </c>
      <c r="T464" s="105">
        <f t="shared" si="495"/>
        <v>93033246</v>
      </c>
      <c r="U464" s="119"/>
      <c r="V464" s="119"/>
      <c r="W464" s="119"/>
      <c r="X464" s="119"/>
      <c r="Y464" s="119"/>
      <c r="Z464" s="105">
        <f t="shared" si="496"/>
        <v>0</v>
      </c>
      <c r="AA464" s="105">
        <f t="shared" si="497"/>
        <v>93033246</v>
      </c>
      <c r="AB464" s="119"/>
      <c r="AC464" s="119"/>
      <c r="AD464" s="119">
        <v>-1458300</v>
      </c>
      <c r="AE464" s="119"/>
      <c r="AF464" s="119"/>
      <c r="AG464" s="105">
        <f t="shared" si="498"/>
        <v>-1458300</v>
      </c>
      <c r="AH464" s="105">
        <f t="shared" si="499"/>
        <v>91574946</v>
      </c>
      <c r="AI464" s="105">
        <v>91574946</v>
      </c>
      <c r="AJ464" s="732">
        <f>AI464/AH464*100</f>
        <v>100</v>
      </c>
    </row>
    <row r="465" spans="1:36" s="45" customFormat="1" ht="33.5" customHeight="1">
      <c r="A465" s="273"/>
      <c r="B465" s="323"/>
      <c r="C465" s="118">
        <v>4</v>
      </c>
      <c r="D465" s="344"/>
      <c r="E465" s="118" t="s">
        <v>199</v>
      </c>
      <c r="F465" s="6"/>
      <c r="G465" s="7"/>
      <c r="H465" s="858" t="s">
        <v>497</v>
      </c>
      <c r="I465" s="859"/>
      <c r="J465" s="157"/>
      <c r="K465" s="158">
        <v>8553825</v>
      </c>
      <c r="L465" s="119">
        <f t="shared" si="500"/>
        <v>8553825</v>
      </c>
      <c r="M465" s="119"/>
      <c r="N465" s="119"/>
      <c r="O465" s="119"/>
      <c r="P465" s="119"/>
      <c r="Q465" s="119"/>
      <c r="R465" s="119"/>
      <c r="S465" s="105">
        <f t="shared" si="494"/>
        <v>0</v>
      </c>
      <c r="T465" s="105">
        <f t="shared" si="495"/>
        <v>8553825</v>
      </c>
      <c r="U465" s="119"/>
      <c r="V465" s="119"/>
      <c r="W465" s="119"/>
      <c r="X465" s="119"/>
      <c r="Y465" s="119"/>
      <c r="Z465" s="105">
        <f t="shared" si="496"/>
        <v>0</v>
      </c>
      <c r="AA465" s="105">
        <f t="shared" si="497"/>
        <v>8553825</v>
      </c>
      <c r="AB465" s="119"/>
      <c r="AC465" s="119"/>
      <c r="AD465" s="119"/>
      <c r="AE465" s="119"/>
      <c r="AF465" s="119"/>
      <c r="AG465" s="105">
        <f t="shared" si="498"/>
        <v>0</v>
      </c>
      <c r="AH465" s="105">
        <f t="shared" si="499"/>
        <v>8553825</v>
      </c>
      <c r="AI465" s="105">
        <v>8553825</v>
      </c>
      <c r="AJ465" s="732">
        <f>AI465/AH465*100</f>
        <v>100</v>
      </c>
    </row>
    <row r="466" spans="1:36" s="45" customFormat="1" ht="33.5" customHeight="1">
      <c r="A466" s="273"/>
      <c r="B466" s="323"/>
      <c r="C466" s="118">
        <v>5</v>
      </c>
      <c r="D466" s="344"/>
      <c r="E466" s="118" t="s">
        <v>199</v>
      </c>
      <c r="F466" s="6"/>
      <c r="G466" s="7"/>
      <c r="H466" s="858" t="s">
        <v>498</v>
      </c>
      <c r="I466" s="859"/>
      <c r="J466" s="157"/>
      <c r="K466" s="158">
        <v>5116772</v>
      </c>
      <c r="L466" s="119">
        <f t="shared" si="500"/>
        <v>5116772</v>
      </c>
      <c r="M466" s="119"/>
      <c r="N466" s="119"/>
      <c r="O466" s="119"/>
      <c r="P466" s="119"/>
      <c r="Q466" s="119"/>
      <c r="R466" s="119"/>
      <c r="S466" s="105">
        <f t="shared" si="494"/>
        <v>0</v>
      </c>
      <c r="T466" s="105">
        <f t="shared" si="495"/>
        <v>5116772</v>
      </c>
      <c r="U466" s="119"/>
      <c r="V466" s="119"/>
      <c r="W466" s="119"/>
      <c r="X466" s="119"/>
      <c r="Y466" s="119"/>
      <c r="Z466" s="105">
        <f t="shared" si="496"/>
        <v>0</v>
      </c>
      <c r="AA466" s="105">
        <f t="shared" si="497"/>
        <v>5116772</v>
      </c>
      <c r="AB466" s="119"/>
      <c r="AC466" s="119"/>
      <c r="AD466" s="119">
        <v>-5116772</v>
      </c>
      <c r="AE466" s="119"/>
      <c r="AF466" s="119"/>
      <c r="AG466" s="105">
        <f t="shared" si="498"/>
        <v>-5116772</v>
      </c>
      <c r="AH466" s="105">
        <f t="shared" si="499"/>
        <v>0</v>
      </c>
      <c r="AI466" s="105"/>
      <c r="AJ466" s="732"/>
    </row>
    <row r="467" spans="1:36" s="45" customFormat="1" ht="14">
      <c r="A467" s="273"/>
      <c r="B467" s="323"/>
      <c r="C467" s="118">
        <v>6</v>
      </c>
      <c r="D467" s="344"/>
      <c r="E467" s="118" t="s">
        <v>199</v>
      </c>
      <c r="F467" s="6"/>
      <c r="G467" s="7"/>
      <c r="H467" s="858" t="s">
        <v>499</v>
      </c>
      <c r="I467" s="859"/>
      <c r="J467" s="157"/>
      <c r="K467" s="158">
        <v>2653690</v>
      </c>
      <c r="L467" s="119">
        <f t="shared" si="500"/>
        <v>2653690</v>
      </c>
      <c r="M467" s="119"/>
      <c r="N467" s="119"/>
      <c r="O467" s="119"/>
      <c r="P467" s="119"/>
      <c r="Q467" s="119"/>
      <c r="R467" s="119"/>
      <c r="S467" s="105">
        <f t="shared" si="494"/>
        <v>0</v>
      </c>
      <c r="T467" s="105">
        <f t="shared" si="495"/>
        <v>2653690</v>
      </c>
      <c r="U467" s="119"/>
      <c r="V467" s="119"/>
      <c r="W467" s="119"/>
      <c r="X467" s="119"/>
      <c r="Y467" s="119"/>
      <c r="Z467" s="105">
        <f t="shared" si="496"/>
        <v>0</v>
      </c>
      <c r="AA467" s="105">
        <f t="shared" si="497"/>
        <v>2653690</v>
      </c>
      <c r="AB467" s="119"/>
      <c r="AC467" s="119"/>
      <c r="AD467" s="119">
        <v>-2653690</v>
      </c>
      <c r="AE467" s="119"/>
      <c r="AF467" s="119"/>
      <c r="AG467" s="105">
        <f t="shared" si="498"/>
        <v>-2653690</v>
      </c>
      <c r="AH467" s="105">
        <f t="shared" si="499"/>
        <v>0</v>
      </c>
      <c r="AI467" s="105"/>
      <c r="AJ467" s="732"/>
    </row>
    <row r="468" spans="1:36" s="45" customFormat="1" ht="14">
      <c r="A468" s="273"/>
      <c r="B468" s="323"/>
      <c r="C468" s="118">
        <v>7</v>
      </c>
      <c r="D468" s="344"/>
      <c r="E468" s="118" t="s">
        <v>199</v>
      </c>
      <c r="F468" s="6"/>
      <c r="G468" s="7"/>
      <c r="H468" s="858" t="s">
        <v>500</v>
      </c>
      <c r="I468" s="859"/>
      <c r="J468" s="157"/>
      <c r="K468" s="158">
        <v>8415368</v>
      </c>
      <c r="L468" s="119">
        <f t="shared" si="500"/>
        <v>8415368</v>
      </c>
      <c r="M468" s="119"/>
      <c r="N468" s="119"/>
      <c r="O468" s="119"/>
      <c r="P468" s="119"/>
      <c r="Q468" s="119"/>
      <c r="R468" s="119"/>
      <c r="S468" s="105">
        <f t="shared" si="494"/>
        <v>0</v>
      </c>
      <c r="T468" s="105">
        <f t="shared" si="495"/>
        <v>8415368</v>
      </c>
      <c r="U468" s="119"/>
      <c r="V468" s="119"/>
      <c r="W468" s="119"/>
      <c r="X468" s="119"/>
      <c r="Y468" s="119"/>
      <c r="Z468" s="105">
        <f t="shared" si="496"/>
        <v>0</v>
      </c>
      <c r="AA468" s="105">
        <f t="shared" si="497"/>
        <v>8415368</v>
      </c>
      <c r="AB468" s="119"/>
      <c r="AC468" s="119"/>
      <c r="AD468" s="119">
        <v>-8415368</v>
      </c>
      <c r="AE468" s="119"/>
      <c r="AF468" s="119"/>
      <c r="AG468" s="105">
        <f t="shared" si="498"/>
        <v>-8415368</v>
      </c>
      <c r="AH468" s="105">
        <f t="shared" si="499"/>
        <v>0</v>
      </c>
      <c r="AI468" s="105"/>
      <c r="AJ468" s="732"/>
    </row>
    <row r="469" spans="1:36" s="45" customFormat="1" ht="14">
      <c r="A469" s="273"/>
      <c r="B469" s="323"/>
      <c r="C469" s="118">
        <v>8</v>
      </c>
      <c r="D469" s="344"/>
      <c r="E469" s="118" t="s">
        <v>199</v>
      </c>
      <c r="F469" s="6"/>
      <c r="G469" s="7"/>
      <c r="H469" s="858" t="s">
        <v>501</v>
      </c>
      <c r="I469" s="859"/>
      <c r="J469" s="157"/>
      <c r="K469" s="158">
        <v>1701686</v>
      </c>
      <c r="L469" s="119">
        <f t="shared" si="500"/>
        <v>1701686</v>
      </c>
      <c r="M469" s="119"/>
      <c r="N469" s="119"/>
      <c r="O469" s="119"/>
      <c r="P469" s="119"/>
      <c r="Q469" s="119"/>
      <c r="R469" s="119"/>
      <c r="S469" s="105">
        <f t="shared" si="494"/>
        <v>0</v>
      </c>
      <c r="T469" s="105">
        <f t="shared" si="495"/>
        <v>1701686</v>
      </c>
      <c r="U469" s="119"/>
      <c r="V469" s="119"/>
      <c r="W469" s="119"/>
      <c r="X469" s="119"/>
      <c r="Y469" s="119"/>
      <c r="Z469" s="105">
        <f t="shared" si="496"/>
        <v>0</v>
      </c>
      <c r="AA469" s="105">
        <f t="shared" si="497"/>
        <v>1701686</v>
      </c>
      <c r="AB469" s="119"/>
      <c r="AC469" s="119"/>
      <c r="AD469" s="119"/>
      <c r="AE469" s="119"/>
      <c r="AF469" s="119"/>
      <c r="AG469" s="105">
        <f t="shared" si="498"/>
        <v>0</v>
      </c>
      <c r="AH469" s="105">
        <f t="shared" si="499"/>
        <v>1701686</v>
      </c>
      <c r="AI469" s="105">
        <v>1701686</v>
      </c>
      <c r="AJ469" s="732">
        <f>AI469/AH469*100</f>
        <v>100</v>
      </c>
    </row>
    <row r="470" spans="1:36" s="45" customFormat="1" ht="33.5" customHeight="1">
      <c r="A470" s="273"/>
      <c r="B470" s="323"/>
      <c r="C470" s="118">
        <v>9</v>
      </c>
      <c r="D470" s="344"/>
      <c r="E470" s="118" t="s">
        <v>199</v>
      </c>
      <c r="F470" s="6"/>
      <c r="G470" s="7"/>
      <c r="H470" s="858" t="s">
        <v>502</v>
      </c>
      <c r="I470" s="859"/>
      <c r="J470" s="157"/>
      <c r="K470" s="158">
        <v>17195120</v>
      </c>
      <c r="L470" s="119">
        <f t="shared" si="500"/>
        <v>17195120</v>
      </c>
      <c r="M470" s="119"/>
      <c r="N470" s="119"/>
      <c r="O470" s="119"/>
      <c r="P470" s="119"/>
      <c r="Q470" s="119"/>
      <c r="R470" s="119"/>
      <c r="S470" s="105">
        <f t="shared" si="494"/>
        <v>0</v>
      </c>
      <c r="T470" s="105">
        <f t="shared" si="495"/>
        <v>17195120</v>
      </c>
      <c r="U470" s="119"/>
      <c r="V470" s="119"/>
      <c r="W470" s="119"/>
      <c r="X470" s="119"/>
      <c r="Y470" s="119"/>
      <c r="Z470" s="105">
        <f t="shared" si="496"/>
        <v>0</v>
      </c>
      <c r="AA470" s="105">
        <f t="shared" si="497"/>
        <v>17195120</v>
      </c>
      <c r="AB470" s="119"/>
      <c r="AC470" s="119"/>
      <c r="AD470" s="119">
        <v>543778</v>
      </c>
      <c r="AE470" s="119"/>
      <c r="AF470" s="119"/>
      <c r="AG470" s="105">
        <f t="shared" si="498"/>
        <v>543778</v>
      </c>
      <c r="AH470" s="105">
        <f t="shared" si="499"/>
        <v>17738898</v>
      </c>
      <c r="AI470" s="105">
        <v>17738898</v>
      </c>
      <c r="AJ470" s="732">
        <f>AI470/AH470*100</f>
        <v>100</v>
      </c>
    </row>
    <row r="471" spans="1:36" s="45" customFormat="1" ht="14">
      <c r="A471" s="273"/>
      <c r="B471" s="323"/>
      <c r="C471" s="118">
        <v>10</v>
      </c>
      <c r="D471" s="344"/>
      <c r="E471" s="118" t="s">
        <v>199</v>
      </c>
      <c r="F471" s="6"/>
      <c r="G471" s="7"/>
      <c r="H471" s="858" t="s">
        <v>503</v>
      </c>
      <c r="I471" s="859"/>
      <c r="J471" s="157"/>
      <c r="K471" s="158">
        <v>16289310</v>
      </c>
      <c r="L471" s="119">
        <f t="shared" si="500"/>
        <v>16289310</v>
      </c>
      <c r="M471" s="119"/>
      <c r="N471" s="119"/>
      <c r="O471" s="119"/>
      <c r="P471" s="119"/>
      <c r="Q471" s="119"/>
      <c r="R471" s="119"/>
      <c r="S471" s="105">
        <f t="shared" si="494"/>
        <v>0</v>
      </c>
      <c r="T471" s="105">
        <f t="shared" si="495"/>
        <v>16289310</v>
      </c>
      <c r="U471" s="119"/>
      <c r="V471" s="119"/>
      <c r="W471" s="119"/>
      <c r="X471" s="119"/>
      <c r="Y471" s="119"/>
      <c r="Z471" s="105">
        <f t="shared" si="496"/>
        <v>0</v>
      </c>
      <c r="AA471" s="105">
        <f t="shared" si="497"/>
        <v>16289310</v>
      </c>
      <c r="AB471" s="119"/>
      <c r="AC471" s="119"/>
      <c r="AD471" s="119">
        <v>-16289310</v>
      </c>
      <c r="AE471" s="119"/>
      <c r="AF471" s="119"/>
      <c r="AG471" s="105">
        <f t="shared" si="498"/>
        <v>-16289310</v>
      </c>
      <c r="AH471" s="105">
        <f t="shared" si="499"/>
        <v>0</v>
      </c>
      <c r="AI471" s="105"/>
      <c r="AJ471" s="732"/>
    </row>
    <row r="472" spans="1:36" s="45" customFormat="1" ht="28.5" customHeight="1">
      <c r="A472" s="273"/>
      <c r="B472" s="323"/>
      <c r="C472" s="118">
        <v>11</v>
      </c>
      <c r="D472" s="344"/>
      <c r="E472" s="118" t="s">
        <v>199</v>
      </c>
      <c r="F472" s="6"/>
      <c r="G472" s="7"/>
      <c r="H472" s="858" t="s">
        <v>504</v>
      </c>
      <c r="I472" s="859"/>
      <c r="J472" s="157"/>
      <c r="K472" s="158">
        <v>900000000</v>
      </c>
      <c r="L472" s="119">
        <f t="shared" si="500"/>
        <v>900000000</v>
      </c>
      <c r="M472" s="119"/>
      <c r="N472" s="119"/>
      <c r="O472" s="119"/>
      <c r="P472" s="119"/>
      <c r="Q472" s="119"/>
      <c r="R472" s="119"/>
      <c r="S472" s="105">
        <f t="shared" si="494"/>
        <v>0</v>
      </c>
      <c r="T472" s="105">
        <f t="shared" si="495"/>
        <v>900000000</v>
      </c>
      <c r="U472" s="119"/>
      <c r="V472" s="119"/>
      <c r="W472" s="119"/>
      <c r="X472" s="119"/>
      <c r="Y472" s="119"/>
      <c r="Z472" s="105">
        <f t="shared" si="496"/>
        <v>0</v>
      </c>
      <c r="AA472" s="105">
        <f t="shared" si="497"/>
        <v>900000000</v>
      </c>
      <c r="AB472" s="119"/>
      <c r="AC472" s="119"/>
      <c r="AD472" s="119"/>
      <c r="AE472" s="119"/>
      <c r="AF472" s="119"/>
      <c r="AG472" s="105">
        <f t="shared" si="498"/>
        <v>0</v>
      </c>
      <c r="AH472" s="105">
        <f t="shared" si="499"/>
        <v>900000000</v>
      </c>
      <c r="AI472" s="105">
        <v>900000000</v>
      </c>
      <c r="AJ472" s="732">
        <f>AI472/AH472*100</f>
        <v>100</v>
      </c>
    </row>
    <row r="473" spans="1:36" s="45" customFormat="1" ht="28" customHeight="1">
      <c r="A473" s="273"/>
      <c r="B473" s="323"/>
      <c r="C473" s="118">
        <v>12</v>
      </c>
      <c r="D473" s="344"/>
      <c r="E473" s="118" t="s">
        <v>199</v>
      </c>
      <c r="F473" s="6"/>
      <c r="G473" s="7"/>
      <c r="H473" s="858" t="s">
        <v>505</v>
      </c>
      <c r="I473" s="859"/>
      <c r="J473" s="157"/>
      <c r="K473" s="158">
        <v>4600000</v>
      </c>
      <c r="L473" s="119">
        <f t="shared" si="500"/>
        <v>4600000</v>
      </c>
      <c r="M473" s="119"/>
      <c r="N473" s="119"/>
      <c r="O473" s="119"/>
      <c r="P473" s="119"/>
      <c r="Q473" s="119"/>
      <c r="R473" s="119"/>
      <c r="S473" s="105">
        <f t="shared" si="494"/>
        <v>0</v>
      </c>
      <c r="T473" s="105">
        <f t="shared" si="495"/>
        <v>4600000</v>
      </c>
      <c r="U473" s="119"/>
      <c r="V473" s="119"/>
      <c r="W473" s="119"/>
      <c r="X473" s="119"/>
      <c r="Y473" s="119"/>
      <c r="Z473" s="105">
        <f t="shared" si="496"/>
        <v>0</v>
      </c>
      <c r="AA473" s="105">
        <f t="shared" si="497"/>
        <v>4600000</v>
      </c>
      <c r="AB473" s="119"/>
      <c r="AC473" s="119"/>
      <c r="AD473" s="119"/>
      <c r="AE473" s="119"/>
      <c r="AF473" s="119"/>
      <c r="AG473" s="105">
        <f t="shared" si="498"/>
        <v>0</v>
      </c>
      <c r="AH473" s="105">
        <f t="shared" si="499"/>
        <v>4600000</v>
      </c>
      <c r="AI473" s="105">
        <v>4600000</v>
      </c>
      <c r="AJ473" s="732">
        <f>AI473/AH473*100</f>
        <v>100</v>
      </c>
    </row>
    <row r="474" spans="1:36" s="45" customFormat="1" ht="14">
      <c r="A474" s="273"/>
      <c r="B474" s="323"/>
      <c r="C474" s="118">
        <v>13</v>
      </c>
      <c r="D474" s="344"/>
      <c r="E474" s="118" t="s">
        <v>199</v>
      </c>
      <c r="F474" s="6"/>
      <c r="G474" s="7"/>
      <c r="H474" s="858" t="s">
        <v>506</v>
      </c>
      <c r="I474" s="859"/>
      <c r="J474" s="157"/>
      <c r="K474" s="158">
        <v>6017342</v>
      </c>
      <c r="L474" s="119">
        <f t="shared" si="500"/>
        <v>6017342</v>
      </c>
      <c r="M474" s="119"/>
      <c r="N474" s="119"/>
      <c r="O474" s="119"/>
      <c r="P474" s="119"/>
      <c r="Q474" s="119"/>
      <c r="R474" s="119"/>
      <c r="S474" s="105">
        <f t="shared" si="494"/>
        <v>0</v>
      </c>
      <c r="T474" s="105">
        <f t="shared" si="495"/>
        <v>6017342</v>
      </c>
      <c r="U474" s="119"/>
      <c r="V474" s="119"/>
      <c r="W474" s="119"/>
      <c r="X474" s="119"/>
      <c r="Y474" s="119"/>
      <c r="Z474" s="105">
        <f t="shared" si="496"/>
        <v>0</v>
      </c>
      <c r="AA474" s="105">
        <f t="shared" si="497"/>
        <v>6017342</v>
      </c>
      <c r="AB474" s="119"/>
      <c r="AC474" s="119"/>
      <c r="AD474" s="119"/>
      <c r="AE474" s="119"/>
      <c r="AF474" s="119"/>
      <c r="AG474" s="105">
        <f t="shared" si="498"/>
        <v>0</v>
      </c>
      <c r="AH474" s="105">
        <f t="shared" si="499"/>
        <v>6017342</v>
      </c>
      <c r="AI474" s="105">
        <v>6017342</v>
      </c>
      <c r="AJ474" s="732">
        <f>AI474/AH474*100</f>
        <v>100</v>
      </c>
    </row>
    <row r="475" spans="1:36" s="45" customFormat="1" ht="14">
      <c r="A475" s="273"/>
      <c r="B475" s="323"/>
      <c r="C475" s="118">
        <v>14</v>
      </c>
      <c r="D475" s="344"/>
      <c r="E475" s="118" t="s">
        <v>199</v>
      </c>
      <c r="F475" s="6"/>
      <c r="G475" s="7"/>
      <c r="H475" s="858" t="s">
        <v>507</v>
      </c>
      <c r="I475" s="859"/>
      <c r="J475" s="157"/>
      <c r="K475" s="158">
        <v>900894587</v>
      </c>
      <c r="L475" s="119">
        <f t="shared" si="500"/>
        <v>900894587</v>
      </c>
      <c r="M475" s="119"/>
      <c r="N475" s="119"/>
      <c r="O475" s="119"/>
      <c r="P475" s="119"/>
      <c r="Q475" s="119"/>
      <c r="R475" s="119"/>
      <c r="S475" s="105">
        <f t="shared" si="494"/>
        <v>0</v>
      </c>
      <c r="T475" s="105">
        <f t="shared" si="495"/>
        <v>900894587</v>
      </c>
      <c r="U475" s="119"/>
      <c r="V475" s="119"/>
      <c r="W475" s="119"/>
      <c r="X475" s="119"/>
      <c r="Y475" s="119"/>
      <c r="Z475" s="105">
        <f t="shared" si="496"/>
        <v>0</v>
      </c>
      <c r="AA475" s="105">
        <f t="shared" si="497"/>
        <v>900894587</v>
      </c>
      <c r="AB475" s="119"/>
      <c r="AC475" s="119"/>
      <c r="AD475" s="119">
        <v>-666892126</v>
      </c>
      <c r="AE475" s="119"/>
      <c r="AF475" s="119"/>
      <c r="AG475" s="105">
        <f t="shared" si="498"/>
        <v>-666892126</v>
      </c>
      <c r="AH475" s="105">
        <f t="shared" si="499"/>
        <v>234002461</v>
      </c>
      <c r="AI475" s="105">
        <v>234002461</v>
      </c>
      <c r="AJ475" s="732">
        <f>AI475/AH475*100</f>
        <v>100</v>
      </c>
    </row>
    <row r="476" spans="1:36" s="45" customFormat="1" ht="33.5" customHeight="1">
      <c r="A476" s="273"/>
      <c r="B476" s="323"/>
      <c r="C476" s="118">
        <v>15</v>
      </c>
      <c r="D476" s="344"/>
      <c r="E476" s="118" t="s">
        <v>199</v>
      </c>
      <c r="F476" s="6"/>
      <c r="G476" s="7"/>
      <c r="H476" s="858" t="s">
        <v>508</v>
      </c>
      <c r="I476" s="859"/>
      <c r="J476" s="157"/>
      <c r="K476" s="158">
        <v>10458748</v>
      </c>
      <c r="L476" s="119">
        <f t="shared" si="500"/>
        <v>10458748</v>
      </c>
      <c r="M476" s="119"/>
      <c r="N476" s="119"/>
      <c r="O476" s="119"/>
      <c r="P476" s="119"/>
      <c r="Q476" s="119"/>
      <c r="R476" s="119"/>
      <c r="S476" s="105">
        <f t="shared" si="494"/>
        <v>0</v>
      </c>
      <c r="T476" s="105">
        <f t="shared" si="495"/>
        <v>10458748</v>
      </c>
      <c r="U476" s="119"/>
      <c r="V476" s="119"/>
      <c r="W476" s="119"/>
      <c r="X476" s="119"/>
      <c r="Y476" s="119"/>
      <c r="Z476" s="105">
        <f t="shared" si="496"/>
        <v>0</v>
      </c>
      <c r="AA476" s="105">
        <f t="shared" si="497"/>
        <v>10458748</v>
      </c>
      <c r="AB476" s="119"/>
      <c r="AC476" s="119"/>
      <c r="AD476" s="119">
        <v>-10458748</v>
      </c>
      <c r="AE476" s="119"/>
      <c r="AF476" s="119"/>
      <c r="AG476" s="105">
        <f t="shared" si="498"/>
        <v>-10458748</v>
      </c>
      <c r="AH476" s="105">
        <f t="shared" si="499"/>
        <v>0</v>
      </c>
      <c r="AI476" s="105"/>
      <c r="AJ476" s="732"/>
    </row>
    <row r="477" spans="1:36" s="45" customFormat="1" ht="14">
      <c r="A477" s="273"/>
      <c r="B477" s="323"/>
      <c r="C477" s="118">
        <v>16</v>
      </c>
      <c r="D477" s="344"/>
      <c r="E477" s="118" t="s">
        <v>199</v>
      </c>
      <c r="F477" s="6"/>
      <c r="G477" s="7"/>
      <c r="H477" s="858" t="s">
        <v>509</v>
      </c>
      <c r="I477" s="859"/>
      <c r="J477" s="157"/>
      <c r="K477" s="158">
        <v>379574590</v>
      </c>
      <c r="L477" s="119">
        <f t="shared" si="500"/>
        <v>379574590</v>
      </c>
      <c r="M477" s="119"/>
      <c r="N477" s="119"/>
      <c r="O477" s="119"/>
      <c r="P477" s="119"/>
      <c r="Q477" s="119"/>
      <c r="R477" s="119"/>
      <c r="S477" s="105">
        <f t="shared" si="494"/>
        <v>0</v>
      </c>
      <c r="T477" s="105">
        <f t="shared" si="495"/>
        <v>379574590</v>
      </c>
      <c r="U477" s="119"/>
      <c r="V477" s="119"/>
      <c r="W477" s="119"/>
      <c r="X477" s="119"/>
      <c r="Y477" s="119"/>
      <c r="Z477" s="105">
        <f t="shared" si="496"/>
        <v>0</v>
      </c>
      <c r="AA477" s="105">
        <f t="shared" si="497"/>
        <v>379574590</v>
      </c>
      <c r="AB477" s="119"/>
      <c r="AC477" s="119"/>
      <c r="AD477" s="119">
        <v>-146092355</v>
      </c>
      <c r="AE477" s="119"/>
      <c r="AF477" s="119"/>
      <c r="AG477" s="105">
        <f t="shared" si="498"/>
        <v>-146092355</v>
      </c>
      <c r="AH477" s="105">
        <f t="shared" si="499"/>
        <v>233482235</v>
      </c>
      <c r="AI477" s="105">
        <v>233482235</v>
      </c>
      <c r="AJ477" s="732">
        <f>AI477/AH477*100</f>
        <v>100</v>
      </c>
    </row>
    <row r="478" spans="1:36" s="45" customFormat="1" ht="33.5" customHeight="1">
      <c r="A478" s="273"/>
      <c r="B478" s="323"/>
      <c r="C478" s="118">
        <v>17</v>
      </c>
      <c r="D478" s="344"/>
      <c r="E478" s="118" t="s">
        <v>199</v>
      </c>
      <c r="F478" s="6"/>
      <c r="G478" s="7"/>
      <c r="H478" s="858" t="s">
        <v>510</v>
      </c>
      <c r="I478" s="859"/>
      <c r="J478" s="157"/>
      <c r="K478" s="158">
        <v>8284950</v>
      </c>
      <c r="L478" s="119">
        <f t="shared" si="500"/>
        <v>8284950</v>
      </c>
      <c r="M478" s="119"/>
      <c r="N478" s="119"/>
      <c r="O478" s="119"/>
      <c r="P478" s="119"/>
      <c r="Q478" s="119"/>
      <c r="R478" s="119"/>
      <c r="S478" s="105">
        <f t="shared" si="494"/>
        <v>0</v>
      </c>
      <c r="T478" s="105">
        <f t="shared" si="495"/>
        <v>8284950</v>
      </c>
      <c r="U478" s="119"/>
      <c r="V478" s="119"/>
      <c r="W478" s="119"/>
      <c r="X478" s="119"/>
      <c r="Y478" s="119"/>
      <c r="Z478" s="105">
        <f t="shared" si="496"/>
        <v>0</v>
      </c>
      <c r="AA478" s="105">
        <f t="shared" si="497"/>
        <v>8284950</v>
      </c>
      <c r="AB478" s="119"/>
      <c r="AC478" s="119"/>
      <c r="AD478" s="119"/>
      <c r="AE478" s="119"/>
      <c r="AF478" s="119"/>
      <c r="AG478" s="105">
        <f t="shared" si="498"/>
        <v>0</v>
      </c>
      <c r="AH478" s="105">
        <f t="shared" si="499"/>
        <v>8284950</v>
      </c>
      <c r="AI478" s="105">
        <v>8284950</v>
      </c>
      <c r="AJ478" s="732">
        <f>AI478/AH478*100</f>
        <v>100</v>
      </c>
    </row>
    <row r="479" spans="1:36" s="45" customFormat="1" ht="30" customHeight="1">
      <c r="A479" s="273"/>
      <c r="B479" s="323"/>
      <c r="C479" s="118">
        <v>18</v>
      </c>
      <c r="D479" s="344"/>
      <c r="E479" s="118" t="s">
        <v>199</v>
      </c>
      <c r="F479" s="6"/>
      <c r="G479" s="7"/>
      <c r="H479" s="858" t="s">
        <v>511</v>
      </c>
      <c r="I479" s="859"/>
      <c r="J479" s="157"/>
      <c r="K479" s="158">
        <v>3752820</v>
      </c>
      <c r="L479" s="119">
        <f t="shared" si="500"/>
        <v>3752820</v>
      </c>
      <c r="M479" s="119"/>
      <c r="N479" s="119"/>
      <c r="O479" s="119"/>
      <c r="P479" s="119"/>
      <c r="Q479" s="119"/>
      <c r="R479" s="119"/>
      <c r="S479" s="105">
        <f t="shared" si="494"/>
        <v>0</v>
      </c>
      <c r="T479" s="105">
        <f t="shared" si="495"/>
        <v>3752820</v>
      </c>
      <c r="U479" s="119"/>
      <c r="V479" s="119"/>
      <c r="W479" s="119"/>
      <c r="X479" s="119"/>
      <c r="Y479" s="119"/>
      <c r="Z479" s="105">
        <f t="shared" si="496"/>
        <v>0</v>
      </c>
      <c r="AA479" s="105">
        <f t="shared" si="497"/>
        <v>3752820</v>
      </c>
      <c r="AB479" s="119"/>
      <c r="AC479" s="119"/>
      <c r="AD479" s="119">
        <v>-2707103</v>
      </c>
      <c r="AE479" s="119"/>
      <c r="AF479" s="119"/>
      <c r="AG479" s="105">
        <f t="shared" si="498"/>
        <v>-2707103</v>
      </c>
      <c r="AH479" s="105">
        <f t="shared" si="499"/>
        <v>1045717</v>
      </c>
      <c r="AI479" s="105">
        <v>1045717</v>
      </c>
      <c r="AJ479" s="732">
        <f>AI479/AH479*100</f>
        <v>100</v>
      </c>
    </row>
    <row r="480" spans="1:36" s="45" customFormat="1" ht="30" customHeight="1">
      <c r="A480" s="273"/>
      <c r="B480" s="323"/>
      <c r="C480" s="118">
        <v>19</v>
      </c>
      <c r="D480" s="344"/>
      <c r="E480" s="118" t="s">
        <v>199</v>
      </c>
      <c r="F480" s="6"/>
      <c r="G480" s="7"/>
      <c r="H480" s="858" t="s">
        <v>512</v>
      </c>
      <c r="I480" s="859"/>
      <c r="J480" s="157"/>
      <c r="K480" s="158">
        <v>13709106</v>
      </c>
      <c r="L480" s="119">
        <f t="shared" si="500"/>
        <v>13709106</v>
      </c>
      <c r="M480" s="119"/>
      <c r="N480" s="119"/>
      <c r="O480" s="119"/>
      <c r="P480" s="119"/>
      <c r="Q480" s="119"/>
      <c r="R480" s="119"/>
      <c r="S480" s="105">
        <f t="shared" si="494"/>
        <v>0</v>
      </c>
      <c r="T480" s="105">
        <f t="shared" si="495"/>
        <v>13709106</v>
      </c>
      <c r="U480" s="119"/>
      <c r="V480" s="119"/>
      <c r="W480" s="119"/>
      <c r="X480" s="119"/>
      <c r="Y480" s="119"/>
      <c r="Z480" s="105">
        <f t="shared" si="496"/>
        <v>0</v>
      </c>
      <c r="AA480" s="105">
        <f t="shared" si="497"/>
        <v>13709106</v>
      </c>
      <c r="AB480" s="119"/>
      <c r="AC480" s="119"/>
      <c r="AD480" s="119">
        <v>-13709106</v>
      </c>
      <c r="AE480" s="119"/>
      <c r="AF480" s="119"/>
      <c r="AG480" s="105">
        <f t="shared" si="498"/>
        <v>-13709106</v>
      </c>
      <c r="AH480" s="105">
        <f t="shared" si="499"/>
        <v>0</v>
      </c>
      <c r="AI480" s="105"/>
      <c r="AJ480" s="732"/>
    </row>
    <row r="481" spans="1:36" s="45" customFormat="1" ht="33.5" customHeight="1">
      <c r="A481" s="273"/>
      <c r="B481" s="323"/>
      <c r="C481" s="118">
        <v>20</v>
      </c>
      <c r="D481" s="344"/>
      <c r="E481" s="118" t="s">
        <v>199</v>
      </c>
      <c r="F481" s="6"/>
      <c r="G481" s="7"/>
      <c r="H481" s="858" t="s">
        <v>513</v>
      </c>
      <c r="I481" s="859"/>
      <c r="J481" s="157"/>
      <c r="K481" s="158">
        <v>8286943</v>
      </c>
      <c r="L481" s="119">
        <f t="shared" si="500"/>
        <v>8286943</v>
      </c>
      <c r="M481" s="119"/>
      <c r="N481" s="119"/>
      <c r="O481" s="119"/>
      <c r="P481" s="119"/>
      <c r="Q481" s="119"/>
      <c r="R481" s="119"/>
      <c r="S481" s="105">
        <f t="shared" si="494"/>
        <v>0</v>
      </c>
      <c r="T481" s="105">
        <f t="shared" si="495"/>
        <v>8286943</v>
      </c>
      <c r="U481" s="119"/>
      <c r="V481" s="119"/>
      <c r="W481" s="119"/>
      <c r="X481" s="119"/>
      <c r="Y481" s="119"/>
      <c r="Z481" s="105">
        <f t="shared" si="496"/>
        <v>0</v>
      </c>
      <c r="AA481" s="105">
        <f t="shared" si="497"/>
        <v>8286943</v>
      </c>
      <c r="AB481" s="119"/>
      <c r="AC481" s="119"/>
      <c r="AD481" s="119">
        <v>-8286943</v>
      </c>
      <c r="AE481" s="119"/>
      <c r="AF481" s="119"/>
      <c r="AG481" s="105">
        <f t="shared" si="498"/>
        <v>-8286943</v>
      </c>
      <c r="AH481" s="105">
        <f t="shared" si="499"/>
        <v>0</v>
      </c>
      <c r="AI481" s="105"/>
      <c r="AJ481" s="732"/>
    </row>
    <row r="482" spans="1:36" s="45" customFormat="1" ht="43.5" customHeight="1">
      <c r="A482" s="273"/>
      <c r="B482" s="323"/>
      <c r="C482" s="118">
        <v>21</v>
      </c>
      <c r="D482" s="344"/>
      <c r="E482" s="118" t="s">
        <v>199</v>
      </c>
      <c r="F482" s="6"/>
      <c r="G482" s="7"/>
      <c r="H482" s="858" t="s">
        <v>430</v>
      </c>
      <c r="I482" s="859"/>
      <c r="J482" s="157"/>
      <c r="K482" s="158">
        <v>3333832</v>
      </c>
      <c r="L482" s="119">
        <f t="shared" si="500"/>
        <v>3333832</v>
      </c>
      <c r="M482" s="119"/>
      <c r="N482" s="119"/>
      <c r="O482" s="119"/>
      <c r="P482" s="119"/>
      <c r="Q482" s="119"/>
      <c r="R482" s="119"/>
      <c r="S482" s="105">
        <f t="shared" si="494"/>
        <v>0</v>
      </c>
      <c r="T482" s="105">
        <f t="shared" si="495"/>
        <v>3333832</v>
      </c>
      <c r="U482" s="119"/>
      <c r="V482" s="119"/>
      <c r="W482" s="119"/>
      <c r="X482" s="119"/>
      <c r="Y482" s="119"/>
      <c r="Z482" s="105">
        <f t="shared" si="496"/>
        <v>0</v>
      </c>
      <c r="AA482" s="105">
        <f t="shared" si="497"/>
        <v>3333832</v>
      </c>
      <c r="AB482" s="119"/>
      <c r="AC482" s="119"/>
      <c r="AD482" s="119">
        <v>-3333832</v>
      </c>
      <c r="AE482" s="119"/>
      <c r="AF482" s="119"/>
      <c r="AG482" s="105">
        <f t="shared" si="498"/>
        <v>-3333832</v>
      </c>
      <c r="AH482" s="105">
        <f t="shared" si="499"/>
        <v>0</v>
      </c>
      <c r="AI482" s="105"/>
      <c r="AJ482" s="732"/>
    </row>
    <row r="483" spans="1:36" s="45" customFormat="1" ht="14">
      <c r="A483" s="273"/>
      <c r="B483" s="323"/>
      <c r="C483" s="118">
        <v>22</v>
      </c>
      <c r="D483" s="344"/>
      <c r="E483" s="118" t="s">
        <v>199</v>
      </c>
      <c r="F483" s="6"/>
      <c r="G483" s="7"/>
      <c r="H483" s="858" t="s">
        <v>520</v>
      </c>
      <c r="I483" s="859"/>
      <c r="J483" s="157"/>
      <c r="K483" s="158">
        <v>19050000</v>
      </c>
      <c r="L483" s="119">
        <f t="shared" si="500"/>
        <v>19050000</v>
      </c>
      <c r="M483" s="119"/>
      <c r="N483" s="119"/>
      <c r="O483" s="119"/>
      <c r="P483" s="119"/>
      <c r="Q483" s="119"/>
      <c r="R483" s="119"/>
      <c r="S483" s="105">
        <f t="shared" si="494"/>
        <v>0</v>
      </c>
      <c r="T483" s="105">
        <f t="shared" si="495"/>
        <v>19050000</v>
      </c>
      <c r="U483" s="119"/>
      <c r="V483" s="119"/>
      <c r="W483" s="119"/>
      <c r="X483" s="119"/>
      <c r="Y483" s="119"/>
      <c r="Z483" s="105">
        <f t="shared" si="496"/>
        <v>0</v>
      </c>
      <c r="AA483" s="105">
        <f t="shared" si="497"/>
        <v>19050000</v>
      </c>
      <c r="AB483" s="119"/>
      <c r="AC483" s="119"/>
      <c r="AD483" s="119">
        <v>-19050000</v>
      </c>
      <c r="AE483" s="119"/>
      <c r="AF483" s="119"/>
      <c r="AG483" s="105">
        <f t="shared" si="498"/>
        <v>-19050000</v>
      </c>
      <c r="AH483" s="105">
        <f t="shared" si="499"/>
        <v>0</v>
      </c>
      <c r="AI483" s="105"/>
      <c r="AJ483" s="732"/>
    </row>
    <row r="484" spans="1:36" s="45" customFormat="1" ht="14">
      <c r="A484" s="273"/>
      <c r="B484" s="323"/>
      <c r="C484" s="118">
        <v>23</v>
      </c>
      <c r="D484" s="344"/>
      <c r="E484" s="118" t="s">
        <v>199</v>
      </c>
      <c r="F484" s="6"/>
      <c r="G484" s="7"/>
      <c r="H484" s="858" t="s">
        <v>632</v>
      </c>
      <c r="I484" s="859"/>
      <c r="J484" s="157"/>
      <c r="K484" s="158"/>
      <c r="L484" s="228"/>
      <c r="M484" s="228"/>
      <c r="N484" s="228"/>
      <c r="O484" s="228"/>
      <c r="P484" s="228">
        <v>1500000</v>
      </c>
      <c r="Q484" s="228"/>
      <c r="R484" s="228"/>
      <c r="S484" s="105">
        <f t="shared" ref="S484" si="501">SUM(M484:R484)</f>
        <v>1500000</v>
      </c>
      <c r="T484" s="105">
        <f t="shared" ref="T484" si="502">S484+L484</f>
        <v>1500000</v>
      </c>
      <c r="U484" s="228"/>
      <c r="V484" s="228"/>
      <c r="W484" s="228"/>
      <c r="X484" s="228"/>
      <c r="Y484" s="228"/>
      <c r="Z484" s="105">
        <f t="shared" si="496"/>
        <v>0</v>
      </c>
      <c r="AA484" s="105">
        <f t="shared" si="497"/>
        <v>1500000</v>
      </c>
      <c r="AB484" s="228"/>
      <c r="AC484" s="228"/>
      <c r="AD484" s="228"/>
      <c r="AE484" s="228"/>
      <c r="AF484" s="228"/>
      <c r="AG484" s="105">
        <f t="shared" si="498"/>
        <v>0</v>
      </c>
      <c r="AH484" s="105">
        <f t="shared" si="499"/>
        <v>1500000</v>
      </c>
      <c r="AI484" s="105">
        <v>1500000</v>
      </c>
      <c r="AJ484" s="732">
        <f>AI484/AH484*100</f>
        <v>100</v>
      </c>
    </row>
    <row r="485" spans="1:36" s="45" customFormat="1" ht="14">
      <c r="A485" s="273"/>
      <c r="B485" s="647"/>
      <c r="C485" s="648">
        <v>24</v>
      </c>
      <c r="D485" s="344"/>
      <c r="E485" s="648" t="s">
        <v>199</v>
      </c>
      <c r="F485" s="6"/>
      <c r="G485" s="7"/>
      <c r="H485" s="858" t="s">
        <v>651</v>
      </c>
      <c r="I485" s="859"/>
      <c r="J485" s="157"/>
      <c r="K485" s="158"/>
      <c r="L485" s="228"/>
      <c r="M485" s="228"/>
      <c r="N485" s="228"/>
      <c r="O485" s="228"/>
      <c r="P485" s="228"/>
      <c r="Q485" s="228"/>
      <c r="R485" s="228"/>
      <c r="S485" s="156"/>
      <c r="T485" s="156"/>
      <c r="U485" s="228"/>
      <c r="V485" s="228"/>
      <c r="W485" s="228">
        <v>5515638</v>
      </c>
      <c r="X485" s="228"/>
      <c r="Y485" s="228"/>
      <c r="Z485" s="105">
        <f t="shared" ref="Z485" si="503">SUM(U485:Y485)</f>
        <v>5515638</v>
      </c>
      <c r="AA485" s="105">
        <f t="shared" ref="AA485" si="504">Z485+T485</f>
        <v>5515638</v>
      </c>
      <c r="AB485" s="228"/>
      <c r="AC485" s="228"/>
      <c r="AD485" s="228"/>
      <c r="AE485" s="228"/>
      <c r="AF485" s="228"/>
      <c r="AG485" s="105">
        <f t="shared" si="498"/>
        <v>0</v>
      </c>
      <c r="AH485" s="105">
        <f t="shared" si="499"/>
        <v>5515638</v>
      </c>
      <c r="AI485" s="105">
        <v>5515638</v>
      </c>
      <c r="AJ485" s="732">
        <f>AI485/AH485*100</f>
        <v>100</v>
      </c>
    </row>
    <row r="486" spans="1:36" s="45" customFormat="1" ht="17.25" customHeight="1">
      <c r="A486" s="103"/>
      <c r="B486" s="323"/>
      <c r="C486" s="22"/>
      <c r="D486" s="22"/>
      <c r="E486" s="118"/>
      <c r="F486" s="6"/>
      <c r="G486" s="7"/>
      <c r="H486" s="7"/>
      <c r="I486" s="112"/>
      <c r="J486" s="46"/>
      <c r="K486" s="119"/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  <c r="V486" s="119"/>
      <c r="W486" s="119"/>
      <c r="X486" s="119"/>
      <c r="Y486" s="119"/>
      <c r="Z486" s="119"/>
      <c r="AA486" s="119"/>
      <c r="AB486" s="119"/>
      <c r="AC486" s="119"/>
      <c r="AD486" s="119"/>
      <c r="AE486" s="119"/>
      <c r="AF486" s="119"/>
      <c r="AG486" s="119"/>
      <c r="AH486" s="119"/>
      <c r="AI486" s="119"/>
      <c r="AJ486" s="751"/>
    </row>
    <row r="487" spans="1:36" s="45" customFormat="1" ht="17.25" customHeight="1">
      <c r="A487" s="103"/>
      <c r="B487" s="323"/>
      <c r="C487" s="118"/>
      <c r="D487" s="22"/>
      <c r="E487" s="118"/>
      <c r="F487" s="20" t="s">
        <v>37</v>
      </c>
      <c r="G487" s="4"/>
      <c r="H487" s="4"/>
      <c r="I487" s="5"/>
      <c r="J487" s="101">
        <f>SUM(J463:J483)</f>
        <v>0</v>
      </c>
      <c r="K487" s="101">
        <f t="shared" ref="K487:T487" si="505">SUM(K462:K486)</f>
        <v>2412149740</v>
      </c>
      <c r="L487" s="101">
        <f t="shared" si="505"/>
        <v>2412149740</v>
      </c>
      <c r="M487" s="101">
        <f t="shared" si="505"/>
        <v>0</v>
      </c>
      <c r="N487" s="101">
        <f t="shared" si="505"/>
        <v>0</v>
      </c>
      <c r="O487" s="101">
        <f t="shared" si="505"/>
        <v>0</v>
      </c>
      <c r="P487" s="101">
        <f t="shared" si="505"/>
        <v>1500000</v>
      </c>
      <c r="Q487" s="101">
        <f t="shared" si="505"/>
        <v>0</v>
      </c>
      <c r="R487" s="101">
        <f t="shared" si="505"/>
        <v>0</v>
      </c>
      <c r="S487" s="101">
        <f t="shared" si="505"/>
        <v>1500000</v>
      </c>
      <c r="T487" s="101">
        <f t="shared" si="505"/>
        <v>2413649740</v>
      </c>
      <c r="U487" s="101"/>
      <c r="V487" s="101"/>
      <c r="W487" s="101">
        <f t="shared" ref="W487" si="506">SUM(W462:W486)</f>
        <v>5515638</v>
      </c>
      <c r="X487" s="101"/>
      <c r="Y487" s="101"/>
      <c r="Z487" s="101">
        <f t="shared" ref="Z487:AA487" si="507">SUM(Z462:Z486)</f>
        <v>5515638</v>
      </c>
      <c r="AA487" s="101">
        <f t="shared" si="507"/>
        <v>2419165378</v>
      </c>
      <c r="AB487" s="101"/>
      <c r="AC487" s="101"/>
      <c r="AD487" s="101">
        <f t="shared" ref="AD487" si="508">SUM(AD462:AD486)</f>
        <v>-904113913</v>
      </c>
      <c r="AE487" s="101"/>
      <c r="AF487" s="101"/>
      <c r="AG487" s="101">
        <f t="shared" ref="AG487:AI487" si="509">SUM(AG462:AG486)</f>
        <v>-904113913</v>
      </c>
      <c r="AH487" s="101">
        <f t="shared" si="509"/>
        <v>1515051465</v>
      </c>
      <c r="AI487" s="101">
        <f t="shared" si="509"/>
        <v>1515051465</v>
      </c>
      <c r="AJ487" s="733">
        <f>AI487/AH487*100</f>
        <v>100</v>
      </c>
    </row>
    <row r="488" spans="1:36" s="45" customFormat="1" ht="17.25" customHeight="1">
      <c r="A488" s="103"/>
      <c r="B488" s="323"/>
      <c r="C488" s="118"/>
      <c r="D488" s="22"/>
      <c r="E488" s="118"/>
      <c r="F488" s="120"/>
      <c r="G488" s="26"/>
      <c r="H488" s="26"/>
      <c r="I488" s="27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752"/>
    </row>
    <row r="489" spans="1:36" s="45" customFormat="1" ht="17.25" customHeight="1">
      <c r="A489" s="103">
        <v>4</v>
      </c>
      <c r="B489" s="271"/>
      <c r="C489" s="22"/>
      <c r="D489" s="271">
        <v>2</v>
      </c>
      <c r="E489" s="22"/>
      <c r="F489" s="909" t="s">
        <v>243</v>
      </c>
      <c r="G489" s="909"/>
      <c r="H489" s="909"/>
      <c r="I489" s="909"/>
      <c r="J489" s="113"/>
      <c r="K489" s="113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734"/>
    </row>
    <row r="490" spans="1:36" s="45" customFormat="1" ht="30" customHeight="1">
      <c r="A490" s="103"/>
      <c r="B490" s="271"/>
      <c r="C490" s="118">
        <v>1</v>
      </c>
      <c r="D490" s="22"/>
      <c r="E490" s="22" t="s">
        <v>199</v>
      </c>
      <c r="F490" s="690"/>
      <c r="G490" s="690"/>
      <c r="H490" s="858" t="s">
        <v>521</v>
      </c>
      <c r="I490" s="859"/>
      <c r="J490" s="113"/>
      <c r="K490" s="119">
        <v>3950000</v>
      </c>
      <c r="L490" s="119">
        <f>SUM(J490:K490)</f>
        <v>3950000</v>
      </c>
      <c r="M490" s="119"/>
      <c r="N490" s="119"/>
      <c r="O490" s="119"/>
      <c r="P490" s="119"/>
      <c r="Q490" s="119"/>
      <c r="R490" s="119"/>
      <c r="S490" s="105">
        <f t="shared" ref="S490:S493" si="510">SUM(M490:R490)</f>
        <v>0</v>
      </c>
      <c r="T490" s="105">
        <f t="shared" ref="T490:T493" si="511">S490+L490</f>
        <v>3950000</v>
      </c>
      <c r="U490" s="119"/>
      <c r="V490" s="119"/>
      <c r="W490" s="119"/>
      <c r="X490" s="119"/>
      <c r="Y490" s="119"/>
      <c r="Z490" s="105">
        <f>SUM(U490:Y490)</f>
        <v>0</v>
      </c>
      <c r="AA490" s="105">
        <f>Z490+T490</f>
        <v>3950000</v>
      </c>
      <c r="AB490" s="119"/>
      <c r="AC490" s="119"/>
      <c r="AD490" s="119"/>
      <c r="AE490" s="119"/>
      <c r="AF490" s="119"/>
      <c r="AG490" s="105">
        <f>SUM(AB490:AF490)</f>
        <v>0</v>
      </c>
      <c r="AH490" s="105">
        <f t="shared" ref="AH490:AH493" si="512">AG490+AA490</f>
        <v>3950000</v>
      </c>
      <c r="AI490" s="105">
        <v>3950000</v>
      </c>
      <c r="AJ490" s="732">
        <f>AI490/AH490*100</f>
        <v>100</v>
      </c>
    </row>
    <row r="491" spans="1:36" s="45" customFormat="1" ht="30" customHeight="1">
      <c r="A491" s="273"/>
      <c r="B491" s="274"/>
      <c r="C491" s="118">
        <v>2</v>
      </c>
      <c r="D491" s="155"/>
      <c r="E491" s="155" t="s">
        <v>199</v>
      </c>
      <c r="F491" s="690"/>
      <c r="G491" s="690"/>
      <c r="H491" s="858" t="s">
        <v>517</v>
      </c>
      <c r="I491" s="859"/>
      <c r="J491" s="159"/>
      <c r="K491" s="119">
        <v>96115000</v>
      </c>
      <c r="L491" s="119">
        <f t="shared" ref="L491:L493" si="513">SUM(J491:K491)</f>
        <v>96115000</v>
      </c>
      <c r="M491" s="119"/>
      <c r="N491" s="119"/>
      <c r="O491" s="119"/>
      <c r="P491" s="119"/>
      <c r="Q491" s="119"/>
      <c r="R491" s="119"/>
      <c r="S491" s="105">
        <f t="shared" si="510"/>
        <v>0</v>
      </c>
      <c r="T491" s="105">
        <f t="shared" si="511"/>
        <v>96115000</v>
      </c>
      <c r="U491" s="119"/>
      <c r="V491" s="119"/>
      <c r="W491" s="119"/>
      <c r="X491" s="119"/>
      <c r="Y491" s="119"/>
      <c r="Z491" s="105">
        <f>SUM(U491:Y491)</f>
        <v>0</v>
      </c>
      <c r="AA491" s="105">
        <f>Z491+T491</f>
        <v>96115000</v>
      </c>
      <c r="AB491" s="119"/>
      <c r="AC491" s="119"/>
      <c r="AD491" s="119"/>
      <c r="AE491" s="119"/>
      <c r="AF491" s="119"/>
      <c r="AG491" s="105">
        <f>SUM(AB491:AF491)</f>
        <v>0</v>
      </c>
      <c r="AH491" s="105">
        <f t="shared" si="512"/>
        <v>96115000</v>
      </c>
      <c r="AI491" s="105">
        <v>96115000</v>
      </c>
      <c r="AJ491" s="732">
        <f>AI491/AH491*100</f>
        <v>100</v>
      </c>
    </row>
    <row r="492" spans="1:36" s="45" customFormat="1" ht="30" customHeight="1">
      <c r="A492" s="273"/>
      <c r="B492" s="274"/>
      <c r="C492" s="118">
        <v>3</v>
      </c>
      <c r="D492" s="155"/>
      <c r="E492" s="155" t="s">
        <v>199</v>
      </c>
      <c r="F492" s="690"/>
      <c r="G492" s="690"/>
      <c r="H492" s="858" t="s">
        <v>518</v>
      </c>
      <c r="I492" s="859"/>
      <c r="J492" s="159"/>
      <c r="K492" s="119">
        <v>2979374000</v>
      </c>
      <c r="L492" s="119">
        <f t="shared" si="513"/>
        <v>2979374000</v>
      </c>
      <c r="M492" s="119"/>
      <c r="N492" s="119"/>
      <c r="O492" s="119"/>
      <c r="P492" s="119"/>
      <c r="Q492" s="119"/>
      <c r="R492" s="119"/>
      <c r="S492" s="105">
        <f t="shared" si="510"/>
        <v>0</v>
      </c>
      <c r="T492" s="105">
        <f t="shared" si="511"/>
        <v>2979374000</v>
      </c>
      <c r="U492" s="119"/>
      <c r="V492" s="119"/>
      <c r="W492" s="119"/>
      <c r="X492" s="119"/>
      <c r="Y492" s="119"/>
      <c r="Z492" s="105">
        <f>SUM(U492:Y492)</f>
        <v>0</v>
      </c>
      <c r="AA492" s="105">
        <f>Z492+T492</f>
        <v>2979374000</v>
      </c>
      <c r="AB492" s="119"/>
      <c r="AC492" s="119"/>
      <c r="AD492" s="119"/>
      <c r="AE492" s="119"/>
      <c r="AF492" s="119"/>
      <c r="AG492" s="105">
        <f>SUM(AB492:AF492)</f>
        <v>0</v>
      </c>
      <c r="AH492" s="105">
        <f t="shared" si="512"/>
        <v>2979374000</v>
      </c>
      <c r="AI492" s="105">
        <v>2979374000</v>
      </c>
      <c r="AJ492" s="732">
        <f>AI492/AH492*100</f>
        <v>100</v>
      </c>
    </row>
    <row r="493" spans="1:36" s="45" customFormat="1" ht="30" customHeight="1">
      <c r="A493" s="273"/>
      <c r="B493" s="274"/>
      <c r="C493" s="118">
        <v>4</v>
      </c>
      <c r="D493" s="155"/>
      <c r="E493" s="155" t="s">
        <v>199</v>
      </c>
      <c r="F493" s="690"/>
      <c r="G493" s="690"/>
      <c r="H493" s="858" t="s">
        <v>519</v>
      </c>
      <c r="I493" s="859"/>
      <c r="J493" s="159"/>
      <c r="K493" s="119">
        <v>172925000</v>
      </c>
      <c r="L493" s="119">
        <f t="shared" si="513"/>
        <v>172925000</v>
      </c>
      <c r="M493" s="119"/>
      <c r="N493" s="119"/>
      <c r="O493" s="119"/>
      <c r="P493" s="119"/>
      <c r="Q493" s="119"/>
      <c r="R493" s="119"/>
      <c r="S493" s="105">
        <f t="shared" si="510"/>
        <v>0</v>
      </c>
      <c r="T493" s="105">
        <f t="shared" si="511"/>
        <v>172925000</v>
      </c>
      <c r="U493" s="119"/>
      <c r="V493" s="119"/>
      <c r="W493" s="119"/>
      <c r="X493" s="119"/>
      <c r="Y493" s="119"/>
      <c r="Z493" s="105">
        <f>SUM(U493:Y493)</f>
        <v>0</v>
      </c>
      <c r="AA493" s="105">
        <f>Z493+T493</f>
        <v>172925000</v>
      </c>
      <c r="AB493" s="119"/>
      <c r="AC493" s="119"/>
      <c r="AD493" s="119">
        <v>122508000</v>
      </c>
      <c r="AE493" s="119"/>
      <c r="AF493" s="119"/>
      <c r="AG493" s="105">
        <f>SUM(AB493:AF493)</f>
        <v>122508000</v>
      </c>
      <c r="AH493" s="105">
        <f t="shared" si="512"/>
        <v>295433000</v>
      </c>
      <c r="AI493" s="105">
        <v>295433000</v>
      </c>
      <c r="AJ493" s="732">
        <f>AI493/AH493*100</f>
        <v>100</v>
      </c>
    </row>
    <row r="494" spans="1:36" s="45" customFormat="1" ht="17.25" customHeight="1">
      <c r="A494" s="103"/>
      <c r="B494" s="271"/>
      <c r="C494" s="22"/>
      <c r="D494" s="22"/>
      <c r="E494" s="22"/>
      <c r="F494" s="6"/>
      <c r="G494" s="7"/>
      <c r="H494" s="7"/>
      <c r="I494" s="112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19"/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19"/>
      <c r="AG494" s="119"/>
      <c r="AH494" s="119"/>
      <c r="AI494" s="119"/>
      <c r="AJ494" s="751"/>
    </row>
    <row r="495" spans="1:36" s="45" customFormat="1" ht="17.25" customHeight="1">
      <c r="A495" s="103"/>
      <c r="B495" s="271"/>
      <c r="C495" s="22"/>
      <c r="D495" s="22"/>
      <c r="E495" s="22"/>
      <c r="F495" s="20" t="s">
        <v>37</v>
      </c>
      <c r="G495" s="4"/>
      <c r="H495" s="4"/>
      <c r="I495" s="5"/>
      <c r="J495" s="101">
        <f>SUM(J489:J493)</f>
        <v>0</v>
      </c>
      <c r="K495" s="101">
        <f>SUM(K490:K494)</f>
        <v>3252364000</v>
      </c>
      <c r="L495" s="101">
        <f>SUM(L490:L494)</f>
        <v>3252364000</v>
      </c>
      <c r="M495" s="101">
        <f t="shared" ref="M495:T495" si="514">SUM(M490:M494)</f>
        <v>0</v>
      </c>
      <c r="N495" s="101">
        <f t="shared" si="514"/>
        <v>0</v>
      </c>
      <c r="O495" s="101">
        <f t="shared" si="514"/>
        <v>0</v>
      </c>
      <c r="P495" s="101">
        <f t="shared" si="514"/>
        <v>0</v>
      </c>
      <c r="Q495" s="101">
        <f t="shared" si="514"/>
        <v>0</v>
      </c>
      <c r="R495" s="101">
        <f t="shared" si="514"/>
        <v>0</v>
      </c>
      <c r="S495" s="101">
        <f t="shared" si="514"/>
        <v>0</v>
      </c>
      <c r="T495" s="101">
        <f t="shared" si="514"/>
        <v>3252364000</v>
      </c>
      <c r="U495" s="101"/>
      <c r="V495" s="101"/>
      <c r="W495" s="101"/>
      <c r="X495" s="101"/>
      <c r="Y495" s="101"/>
      <c r="Z495" s="101">
        <f t="shared" ref="Z495:AD495" si="515">SUM(Z490:Z494)</f>
        <v>0</v>
      </c>
      <c r="AA495" s="101">
        <f t="shared" si="515"/>
        <v>3252364000</v>
      </c>
      <c r="AB495" s="101">
        <f t="shared" si="515"/>
        <v>0</v>
      </c>
      <c r="AC495" s="101">
        <f t="shared" si="515"/>
        <v>0</v>
      </c>
      <c r="AD495" s="101">
        <f t="shared" si="515"/>
        <v>122508000</v>
      </c>
      <c r="AE495" s="101"/>
      <c r="AF495" s="101"/>
      <c r="AG495" s="101">
        <f t="shared" ref="AG495:AH495" si="516">SUM(AG490:AG494)</f>
        <v>122508000</v>
      </c>
      <c r="AH495" s="101">
        <f t="shared" si="516"/>
        <v>3374872000</v>
      </c>
      <c r="AI495" s="101">
        <f t="shared" ref="AI495" si="517">SUM(AI490:AI494)</f>
        <v>3374872000</v>
      </c>
      <c r="AJ495" s="733">
        <f>AI495/AH495*100</f>
        <v>100</v>
      </c>
    </row>
    <row r="496" spans="1:36" s="45" customFormat="1" ht="17.25" customHeight="1">
      <c r="A496" s="103"/>
      <c r="B496" s="345"/>
      <c r="C496" s="116"/>
      <c r="D496" s="116"/>
      <c r="E496" s="116"/>
      <c r="F496" s="122"/>
      <c r="G496" s="18"/>
      <c r="H496" s="18"/>
      <c r="I496" s="19"/>
      <c r="J496" s="123"/>
      <c r="K496" s="123"/>
      <c r="L496" s="123"/>
      <c r="M496" s="123"/>
      <c r="N496" s="123"/>
      <c r="O496" s="123"/>
      <c r="P496" s="123"/>
      <c r="Q496" s="123"/>
      <c r="R496" s="123"/>
      <c r="S496" s="123"/>
      <c r="T496" s="123"/>
      <c r="U496" s="123"/>
      <c r="V496" s="123"/>
      <c r="W496" s="123"/>
      <c r="X496" s="123"/>
      <c r="Y496" s="123"/>
      <c r="Z496" s="123"/>
      <c r="AA496" s="123"/>
      <c r="AB496" s="123"/>
      <c r="AC496" s="123"/>
      <c r="AD496" s="123"/>
      <c r="AE496" s="123"/>
      <c r="AF496" s="123"/>
      <c r="AG496" s="123"/>
      <c r="AH496" s="123"/>
      <c r="AI496" s="123"/>
      <c r="AJ496" s="753"/>
    </row>
    <row r="497" spans="1:36" s="45" customFormat="1" ht="17.25" customHeight="1">
      <c r="A497" s="695"/>
      <c r="B497" s="284"/>
      <c r="C497" s="111"/>
      <c r="D497" s="111"/>
      <c r="E497" s="346"/>
      <c r="F497" s="877" t="s">
        <v>262</v>
      </c>
      <c r="G497" s="877"/>
      <c r="H497" s="877"/>
      <c r="I497" s="878"/>
      <c r="J497" s="51">
        <f t="shared" ref="J497:T497" si="518">J495+J487+J459+J440</f>
        <v>1570699355</v>
      </c>
      <c r="K497" s="51">
        <f t="shared" si="518"/>
        <v>5664513740</v>
      </c>
      <c r="L497" s="51">
        <f t="shared" si="518"/>
        <v>7235213095</v>
      </c>
      <c r="M497" s="51">
        <f t="shared" si="518"/>
        <v>0</v>
      </c>
      <c r="N497" s="51">
        <f t="shared" si="518"/>
        <v>0</v>
      </c>
      <c r="O497" s="51">
        <f t="shared" si="518"/>
        <v>0</v>
      </c>
      <c r="P497" s="51">
        <f t="shared" si="518"/>
        <v>59467791</v>
      </c>
      <c r="Q497" s="51">
        <f t="shared" si="518"/>
        <v>0</v>
      </c>
      <c r="R497" s="51">
        <f t="shared" si="518"/>
        <v>0</v>
      </c>
      <c r="S497" s="51">
        <f t="shared" si="518"/>
        <v>59467791</v>
      </c>
      <c r="T497" s="51">
        <f t="shared" si="518"/>
        <v>7294680886</v>
      </c>
      <c r="U497" s="51"/>
      <c r="V497" s="51"/>
      <c r="W497" s="51">
        <f t="shared" ref="W497" si="519">W495+W487+W459+W440</f>
        <v>59660719</v>
      </c>
      <c r="X497" s="51"/>
      <c r="Y497" s="51"/>
      <c r="Z497" s="51">
        <f t="shared" ref="Z497:AA497" si="520">Z495+Z487+Z459+Z440</f>
        <v>59660719</v>
      </c>
      <c r="AA497" s="51">
        <f t="shared" si="520"/>
        <v>7354341605</v>
      </c>
      <c r="AB497" s="51"/>
      <c r="AC497" s="51"/>
      <c r="AD497" s="51">
        <f t="shared" ref="AD497" si="521">AD495+AD487+AD459+AD440</f>
        <v>-909524484</v>
      </c>
      <c r="AE497" s="51"/>
      <c r="AF497" s="51"/>
      <c r="AG497" s="51">
        <f t="shared" ref="AG497:AH497" si="522">AG495+AG487+AG459+AG440</f>
        <v>-909524484</v>
      </c>
      <c r="AH497" s="51">
        <f t="shared" si="522"/>
        <v>6444817121</v>
      </c>
      <c r="AI497" s="51">
        <f t="shared" ref="AI497" si="523">AI495+AI487+AI459+AI440</f>
        <v>6444817121</v>
      </c>
      <c r="AJ497" s="737">
        <f>AI497/AH497*100</f>
        <v>100</v>
      </c>
    </row>
    <row r="498" spans="1:36" s="45" customFormat="1" ht="17.25" customHeight="1">
      <c r="A498" s="103"/>
      <c r="B498" s="323"/>
      <c r="C498" s="118"/>
      <c r="D498" s="22"/>
      <c r="E498" s="118"/>
      <c r="F498" s="6"/>
      <c r="G498" s="7"/>
      <c r="H498" s="7"/>
      <c r="I498" s="8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734"/>
    </row>
    <row r="499" spans="1:36" s="45" customFormat="1" ht="14">
      <c r="A499" s="103">
        <v>5</v>
      </c>
      <c r="B499" s="323"/>
      <c r="C499" s="118"/>
      <c r="D499" s="271">
        <v>6</v>
      </c>
      <c r="E499" s="22"/>
      <c r="F499" s="864" t="s">
        <v>271</v>
      </c>
      <c r="G499" s="875"/>
      <c r="H499" s="875"/>
      <c r="I499" s="87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734"/>
    </row>
    <row r="500" spans="1:36" s="45" customFormat="1" ht="14">
      <c r="A500" s="103"/>
      <c r="B500" s="323"/>
      <c r="C500" s="118"/>
      <c r="D500" s="22"/>
      <c r="E500" s="118"/>
      <c r="F500" s="687"/>
      <c r="G500" s="688"/>
      <c r="H500" s="347"/>
      <c r="I500" s="112"/>
      <c r="J500" s="119"/>
      <c r="K500" s="46"/>
      <c r="L500" s="119"/>
      <c r="M500" s="119"/>
      <c r="N500" s="119"/>
      <c r="O500" s="119"/>
      <c r="P500" s="119"/>
      <c r="Q500" s="119"/>
      <c r="R500" s="119"/>
      <c r="S500" s="119"/>
      <c r="T500" s="119"/>
      <c r="U500" s="119"/>
      <c r="V500" s="119"/>
      <c r="W500" s="119"/>
      <c r="X500" s="119"/>
      <c r="Y500" s="119"/>
      <c r="Z500" s="119"/>
      <c r="AA500" s="119"/>
      <c r="AB500" s="119"/>
      <c r="AC500" s="119"/>
      <c r="AD500" s="119"/>
      <c r="AE500" s="119"/>
      <c r="AF500" s="119"/>
      <c r="AG500" s="119"/>
      <c r="AH500" s="119"/>
      <c r="AI500" s="119"/>
      <c r="AJ500" s="751"/>
    </row>
    <row r="501" spans="1:36" s="45" customFormat="1" ht="14">
      <c r="A501" s="103"/>
      <c r="B501" s="323"/>
      <c r="C501" s="118"/>
      <c r="D501" s="22"/>
      <c r="E501" s="118"/>
      <c r="F501" s="20" t="s">
        <v>37</v>
      </c>
      <c r="G501" s="4"/>
      <c r="H501" s="4"/>
      <c r="I501" s="5"/>
      <c r="J501" s="101">
        <f>SUM(J500:J500)</f>
        <v>0</v>
      </c>
      <c r="K501" s="101"/>
      <c r="L501" s="101">
        <f>SUM(L500:L500)</f>
        <v>0</v>
      </c>
      <c r="M501" s="101"/>
      <c r="N501" s="101"/>
      <c r="O501" s="101"/>
      <c r="P501" s="101"/>
      <c r="Q501" s="101"/>
      <c r="R501" s="101"/>
      <c r="S501" s="101"/>
      <c r="T501" s="101"/>
      <c r="U501" s="101"/>
      <c r="V501" s="101"/>
      <c r="W501" s="101"/>
      <c r="X501" s="101"/>
      <c r="Y501" s="101"/>
      <c r="Z501" s="101"/>
      <c r="AA501" s="101"/>
      <c r="AB501" s="101"/>
      <c r="AC501" s="101"/>
      <c r="AD501" s="101"/>
      <c r="AE501" s="101"/>
      <c r="AF501" s="101"/>
      <c r="AG501" s="101"/>
      <c r="AH501" s="101"/>
      <c r="AI501" s="101"/>
      <c r="AJ501" s="733"/>
    </row>
    <row r="502" spans="1:36" s="45" customFormat="1" ht="10" customHeight="1">
      <c r="A502" s="103"/>
      <c r="B502" s="323"/>
      <c r="C502" s="118"/>
      <c r="D502" s="22"/>
      <c r="E502" s="118"/>
      <c r="F502" s="6"/>
      <c r="G502" s="7"/>
      <c r="H502" s="7"/>
      <c r="I502" s="8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734"/>
    </row>
    <row r="503" spans="1:36" s="45" customFormat="1" ht="14">
      <c r="A503" s="103">
        <v>6</v>
      </c>
      <c r="B503" s="323"/>
      <c r="C503" s="118"/>
      <c r="D503" s="271">
        <v>6</v>
      </c>
      <c r="E503" s="22"/>
      <c r="F503" s="864" t="s">
        <v>272</v>
      </c>
      <c r="G503" s="875"/>
      <c r="H503" s="875"/>
      <c r="I503" s="876"/>
      <c r="J503" s="46"/>
      <c r="K503" s="46"/>
      <c r="L503" s="105"/>
      <c r="M503" s="105"/>
      <c r="N503" s="105"/>
      <c r="O503" s="105"/>
      <c r="P503" s="105"/>
      <c r="Q503" s="105"/>
      <c r="R503" s="105"/>
      <c r="S503" s="105"/>
      <c r="T503" s="105"/>
      <c r="U503" s="105"/>
      <c r="V503" s="105"/>
      <c r="W503" s="105"/>
      <c r="X503" s="105"/>
      <c r="Y503" s="105"/>
      <c r="Z503" s="105"/>
      <c r="AA503" s="105"/>
      <c r="AB503" s="105"/>
      <c r="AC503" s="105"/>
      <c r="AD503" s="105"/>
      <c r="AE503" s="105"/>
      <c r="AF503" s="105"/>
      <c r="AG503" s="105"/>
      <c r="AH503" s="105"/>
      <c r="AI503" s="105"/>
      <c r="AJ503" s="732"/>
    </row>
    <row r="504" spans="1:36" s="45" customFormat="1" ht="19.5" customHeight="1">
      <c r="A504" s="273"/>
      <c r="B504" s="323"/>
      <c r="C504" s="118">
        <v>1</v>
      </c>
      <c r="D504" s="274"/>
      <c r="E504" s="155" t="s">
        <v>199</v>
      </c>
      <c r="F504" s="687"/>
      <c r="G504" s="688"/>
      <c r="H504" s="879" t="s">
        <v>639</v>
      </c>
      <c r="I504" s="880"/>
      <c r="J504" s="157"/>
      <c r="K504" s="157"/>
      <c r="L504" s="156"/>
      <c r="M504" s="156"/>
      <c r="N504" s="156"/>
      <c r="O504" s="156"/>
      <c r="P504" s="156">
        <v>30000</v>
      </c>
      <c r="Q504" s="156"/>
      <c r="R504" s="156"/>
      <c r="S504" s="105">
        <f t="shared" ref="S504" si="524">SUM(M504:R504)</f>
        <v>30000</v>
      </c>
      <c r="T504" s="105">
        <f t="shared" ref="T504" si="525">S504+L504</f>
        <v>30000</v>
      </c>
      <c r="U504" s="156"/>
      <c r="V504" s="156"/>
      <c r="W504" s="156">
        <v>38960</v>
      </c>
      <c r="X504" s="156"/>
      <c r="Y504" s="156"/>
      <c r="Z504" s="105">
        <f>SUM(U504:Y504)</f>
        <v>38960</v>
      </c>
      <c r="AA504" s="105">
        <f>Z504+T504</f>
        <v>68960</v>
      </c>
      <c r="AB504" s="156"/>
      <c r="AC504" s="156"/>
      <c r="AD504" s="156"/>
      <c r="AE504" s="156"/>
      <c r="AF504" s="156"/>
      <c r="AG504" s="105">
        <f>SUM(AB504:AF504)</f>
        <v>0</v>
      </c>
      <c r="AH504" s="105">
        <f t="shared" ref="AH504:AH505" si="526">AG504+AA504</f>
        <v>68960</v>
      </c>
      <c r="AI504" s="105">
        <v>62360</v>
      </c>
      <c r="AJ504" s="732">
        <f>AI504/AH504*100</f>
        <v>90.429234338747094</v>
      </c>
    </row>
    <row r="505" spans="1:36" s="45" customFormat="1" ht="27.5" customHeight="1">
      <c r="A505" s="273"/>
      <c r="B505" s="647"/>
      <c r="C505" s="648">
        <v>2</v>
      </c>
      <c r="D505" s="274"/>
      <c r="E505" s="155" t="s">
        <v>198</v>
      </c>
      <c r="F505" s="687"/>
      <c r="G505" s="688"/>
      <c r="H505" s="879" t="s">
        <v>668</v>
      </c>
      <c r="I505" s="880"/>
      <c r="J505" s="157"/>
      <c r="K505" s="157"/>
      <c r="L505" s="156"/>
      <c r="M505" s="156"/>
      <c r="N505" s="156"/>
      <c r="O505" s="156"/>
      <c r="P505" s="156"/>
      <c r="Q505" s="156"/>
      <c r="R505" s="156"/>
      <c r="S505" s="156"/>
      <c r="T505" s="156"/>
      <c r="U505" s="156"/>
      <c r="V505" s="156"/>
      <c r="W505" s="156">
        <v>200000</v>
      </c>
      <c r="X505" s="156"/>
      <c r="Y505" s="156"/>
      <c r="Z505" s="105">
        <f>SUM(U505:Y505)</f>
        <v>200000</v>
      </c>
      <c r="AA505" s="105">
        <f>Z505+T505</f>
        <v>200000</v>
      </c>
      <c r="AB505" s="156"/>
      <c r="AC505" s="156"/>
      <c r="AD505" s="156"/>
      <c r="AE505" s="156"/>
      <c r="AF505" s="156"/>
      <c r="AG505" s="105">
        <f>SUM(AB505:AF505)</f>
        <v>0</v>
      </c>
      <c r="AH505" s="105">
        <f t="shared" si="526"/>
        <v>200000</v>
      </c>
      <c r="AI505" s="105">
        <v>200000</v>
      </c>
      <c r="AJ505" s="732">
        <f>AI505/AH505*100</f>
        <v>100</v>
      </c>
    </row>
    <row r="506" spans="1:36" s="45" customFormat="1" ht="43.5" customHeight="1">
      <c r="A506" s="273"/>
      <c r="B506" s="719"/>
      <c r="C506" s="720">
        <v>3</v>
      </c>
      <c r="D506" s="274"/>
      <c r="E506" s="155" t="s">
        <v>198</v>
      </c>
      <c r="F506" s="711"/>
      <c r="G506" s="712"/>
      <c r="H506" s="879" t="s">
        <v>687</v>
      </c>
      <c r="I506" s="880"/>
      <c r="J506" s="157"/>
      <c r="K506" s="157"/>
      <c r="L506" s="156"/>
      <c r="M506" s="156"/>
      <c r="N506" s="156"/>
      <c r="O506" s="156"/>
      <c r="P506" s="156"/>
      <c r="Q506" s="156"/>
      <c r="R506" s="156"/>
      <c r="S506" s="156"/>
      <c r="T506" s="156"/>
      <c r="U506" s="156"/>
      <c r="V506" s="156"/>
      <c r="W506" s="156"/>
      <c r="X506" s="156"/>
      <c r="Y506" s="156"/>
      <c r="Z506" s="156"/>
      <c r="AA506" s="156"/>
      <c r="AB506" s="156"/>
      <c r="AC506" s="156"/>
      <c r="AD506" s="156">
        <v>200000</v>
      </c>
      <c r="AE506" s="156"/>
      <c r="AF506" s="156"/>
      <c r="AG506" s="105">
        <f>SUM(AB506:AF506)</f>
        <v>200000</v>
      </c>
      <c r="AH506" s="105">
        <f t="shared" ref="AH506" si="527">AG506+AA506</f>
        <v>200000</v>
      </c>
      <c r="AI506" s="156">
        <v>200000</v>
      </c>
      <c r="AJ506" s="732">
        <f>AI506/AH506*100</f>
        <v>100</v>
      </c>
    </row>
    <row r="507" spans="1:36" s="45" customFormat="1" ht="9.5" customHeight="1">
      <c r="A507" s="103"/>
      <c r="B507" s="323"/>
      <c r="C507" s="118"/>
      <c r="D507" s="22"/>
      <c r="E507" s="22"/>
      <c r="F507" s="690"/>
      <c r="G507" s="690"/>
      <c r="H507" s="689"/>
      <c r="I507" s="112"/>
      <c r="J507" s="105"/>
      <c r="K507" s="105"/>
      <c r="L507" s="105"/>
      <c r="M507" s="105"/>
      <c r="N507" s="105"/>
      <c r="O507" s="105"/>
      <c r="P507" s="105"/>
      <c r="Q507" s="105"/>
      <c r="R507" s="105"/>
      <c r="S507" s="105"/>
      <c r="T507" s="105"/>
      <c r="U507" s="105"/>
      <c r="V507" s="105"/>
      <c r="W507" s="105"/>
      <c r="X507" s="105"/>
      <c r="Y507" s="105"/>
      <c r="Z507" s="105"/>
      <c r="AA507" s="105"/>
      <c r="AB507" s="105"/>
      <c r="AC507" s="105"/>
      <c r="AD507" s="105"/>
      <c r="AE507" s="105"/>
      <c r="AF507" s="105"/>
      <c r="AG507" s="105"/>
      <c r="AH507" s="105"/>
      <c r="AI507" s="105"/>
      <c r="AJ507" s="732"/>
    </row>
    <row r="508" spans="1:36" s="45" customFormat="1" ht="15" customHeight="1">
      <c r="A508" s="103"/>
      <c r="B508" s="323"/>
      <c r="C508" s="118"/>
      <c r="D508" s="22"/>
      <c r="E508" s="118"/>
      <c r="F508" s="20" t="s">
        <v>37</v>
      </c>
      <c r="G508" s="4"/>
      <c r="H508" s="4"/>
      <c r="I508" s="5"/>
      <c r="J508" s="101">
        <f>SUM(J507:J507)</f>
        <v>0</v>
      </c>
      <c r="K508" s="101"/>
      <c r="L508" s="101">
        <f t="shared" ref="L508:M508" si="528">SUM(L507:L507)</f>
        <v>0</v>
      </c>
      <c r="M508" s="101">
        <f t="shared" si="528"/>
        <v>0</v>
      </c>
      <c r="N508" s="101"/>
      <c r="O508" s="101"/>
      <c r="P508" s="101">
        <f>SUM(P504:P507)</f>
        <v>30000</v>
      </c>
      <c r="Q508" s="101">
        <f t="shared" ref="Q508:T508" si="529">SUM(Q504:Q507)</f>
        <v>0</v>
      </c>
      <c r="R508" s="101">
        <f t="shared" si="529"/>
        <v>0</v>
      </c>
      <c r="S508" s="101">
        <f t="shared" si="529"/>
        <v>30000</v>
      </c>
      <c r="T508" s="101">
        <f t="shared" si="529"/>
        <v>30000</v>
      </c>
      <c r="U508" s="101"/>
      <c r="V508" s="101"/>
      <c r="W508" s="101">
        <f t="shared" ref="W508" si="530">SUM(W504:W507)</f>
        <v>238960</v>
      </c>
      <c r="X508" s="101"/>
      <c r="Y508" s="101"/>
      <c r="Z508" s="101">
        <f t="shared" ref="Z508:AA508" si="531">SUM(Z504:Z507)</f>
        <v>238960</v>
      </c>
      <c r="AA508" s="101">
        <f t="shared" si="531"/>
        <v>268960</v>
      </c>
      <c r="AB508" s="101"/>
      <c r="AC508" s="101"/>
      <c r="AD508" s="101">
        <f t="shared" ref="AD508" si="532">SUM(AD504:AD507)</f>
        <v>200000</v>
      </c>
      <c r="AE508" s="101"/>
      <c r="AF508" s="101"/>
      <c r="AG508" s="101">
        <f t="shared" ref="AG508:AI508" si="533">SUM(AG504:AG507)</f>
        <v>200000</v>
      </c>
      <c r="AH508" s="101">
        <f t="shared" si="533"/>
        <v>468960</v>
      </c>
      <c r="AI508" s="101">
        <f t="shared" si="533"/>
        <v>462360</v>
      </c>
      <c r="AJ508" s="733">
        <f>AI508/AH508*100</f>
        <v>98.592630501535311</v>
      </c>
    </row>
    <row r="509" spans="1:36" s="45" customFormat="1" ht="15" customHeight="1">
      <c r="A509" s="103"/>
      <c r="B509" s="323"/>
      <c r="C509" s="118"/>
      <c r="D509" s="22"/>
      <c r="E509" s="118"/>
      <c r="F509" s="6"/>
      <c r="G509" s="7"/>
      <c r="H509" s="7"/>
      <c r="I509" s="8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734"/>
    </row>
    <row r="510" spans="1:36" s="45" customFormat="1" ht="15" customHeight="1">
      <c r="A510" s="103">
        <v>7</v>
      </c>
      <c r="B510" s="323"/>
      <c r="C510" s="118"/>
      <c r="D510" s="22">
        <v>7</v>
      </c>
      <c r="E510" s="22"/>
      <c r="F510" s="864" t="s">
        <v>273</v>
      </c>
      <c r="G510" s="875"/>
      <c r="H510" s="875"/>
      <c r="I510" s="87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734"/>
    </row>
    <row r="511" spans="1:36" s="348" customFormat="1" ht="8.5" customHeight="1">
      <c r="A511" s="22"/>
      <c r="B511" s="118"/>
      <c r="C511" s="118"/>
      <c r="D511" s="22"/>
      <c r="E511" s="118"/>
      <c r="F511" s="687"/>
      <c r="G511" s="688"/>
      <c r="H511" s="684"/>
      <c r="I511" s="685"/>
      <c r="J511" s="119"/>
      <c r="K511" s="119"/>
      <c r="L511" s="119"/>
      <c r="M511" s="119"/>
      <c r="N511" s="119"/>
      <c r="O511" s="119"/>
      <c r="P511" s="119"/>
      <c r="Q511" s="119"/>
      <c r="R511" s="119"/>
      <c r="S511" s="119"/>
      <c r="T511" s="119"/>
      <c r="U511" s="119"/>
      <c r="V511" s="119"/>
      <c r="W511" s="119"/>
      <c r="X511" s="119"/>
      <c r="Y511" s="119"/>
      <c r="Z511" s="119"/>
      <c r="AA511" s="119"/>
      <c r="AB511" s="119"/>
      <c r="AC511" s="119"/>
      <c r="AD511" s="119"/>
      <c r="AE511" s="119"/>
      <c r="AF511" s="119"/>
      <c r="AG511" s="119"/>
      <c r="AH511" s="119"/>
      <c r="AI511" s="119"/>
      <c r="AJ511" s="751"/>
    </row>
    <row r="512" spans="1:36" s="348" customFormat="1" ht="15" customHeight="1">
      <c r="A512" s="22"/>
      <c r="B512" s="118"/>
      <c r="C512" s="118"/>
      <c r="D512" s="22"/>
      <c r="E512" s="118"/>
      <c r="F512" s="20" t="s">
        <v>37</v>
      </c>
      <c r="G512" s="4"/>
      <c r="H512" s="4"/>
      <c r="I512" s="5"/>
      <c r="J512" s="101"/>
      <c r="K512" s="101">
        <f>SUM(K510:K511)</f>
        <v>0</v>
      </c>
      <c r="L512" s="101">
        <f>SUM(L510:L511)</f>
        <v>0</v>
      </c>
      <c r="M512" s="101">
        <f t="shared" ref="M512" si="534">SUM(M510:M511)</f>
        <v>0</v>
      </c>
      <c r="N512" s="101"/>
      <c r="O512" s="101"/>
      <c r="P512" s="101"/>
      <c r="Q512" s="101"/>
      <c r="R512" s="101"/>
      <c r="S512" s="101"/>
      <c r="T512" s="101"/>
      <c r="U512" s="101"/>
      <c r="V512" s="101"/>
      <c r="W512" s="101"/>
      <c r="X512" s="101"/>
      <c r="Y512" s="101"/>
      <c r="Z512" s="101"/>
      <c r="AA512" s="101"/>
      <c r="AB512" s="101"/>
      <c r="AC512" s="101"/>
      <c r="AD512" s="101"/>
      <c r="AE512" s="101"/>
      <c r="AF512" s="101"/>
      <c r="AG512" s="101"/>
      <c r="AH512" s="101"/>
      <c r="AI512" s="101"/>
      <c r="AJ512" s="733"/>
    </row>
    <row r="513" spans="1:36" s="348" customFormat="1" ht="15" customHeight="1">
      <c r="A513" s="22"/>
      <c r="B513" s="118"/>
      <c r="C513" s="118"/>
      <c r="D513" s="22"/>
      <c r="E513" s="118"/>
      <c r="F513" s="6"/>
      <c r="G513" s="7"/>
      <c r="H513" s="7"/>
      <c r="I513" s="8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734"/>
    </row>
    <row r="514" spans="1:36" s="348" customFormat="1" ht="15" customHeight="1">
      <c r="A514" s="271">
        <v>8</v>
      </c>
      <c r="B514" s="323"/>
      <c r="C514" s="323"/>
      <c r="D514" s="271">
        <v>7</v>
      </c>
      <c r="E514" s="118"/>
      <c r="F514" s="864" t="s">
        <v>431</v>
      </c>
      <c r="G514" s="875"/>
      <c r="H514" s="875"/>
      <c r="I514" s="87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734"/>
    </row>
    <row r="515" spans="1:36" s="348" customFormat="1" ht="15" customHeight="1">
      <c r="A515" s="274"/>
      <c r="B515" s="323"/>
      <c r="C515" s="323">
        <v>1</v>
      </c>
      <c r="D515" s="274"/>
      <c r="E515" s="118" t="s">
        <v>199</v>
      </c>
      <c r="F515" s="687"/>
      <c r="G515" s="688"/>
      <c r="H515" s="886" t="s">
        <v>640</v>
      </c>
      <c r="I515" s="887"/>
      <c r="J515" s="157"/>
      <c r="K515" s="157"/>
      <c r="L515" s="157"/>
      <c r="M515" s="157"/>
      <c r="N515" s="157"/>
      <c r="O515" s="157"/>
      <c r="P515" s="228">
        <v>686340</v>
      </c>
      <c r="Q515" s="228"/>
      <c r="R515" s="228"/>
      <c r="S515" s="105">
        <f t="shared" ref="S515" si="535">SUM(M515:R515)</f>
        <v>686340</v>
      </c>
      <c r="T515" s="105">
        <f t="shared" ref="T515" si="536">S515+L515</f>
        <v>686340</v>
      </c>
      <c r="U515" s="157"/>
      <c r="V515" s="157"/>
      <c r="W515" s="228"/>
      <c r="X515" s="228"/>
      <c r="Y515" s="228"/>
      <c r="Z515" s="105">
        <f>SUM(U515:Y515)</f>
        <v>0</v>
      </c>
      <c r="AA515" s="105">
        <f>Z515+T515</f>
        <v>686340</v>
      </c>
      <c r="AB515" s="157"/>
      <c r="AC515" s="157"/>
      <c r="AD515" s="228"/>
      <c r="AE515" s="228"/>
      <c r="AF515" s="228"/>
      <c r="AG515" s="105">
        <f>SUM(AB515:AF515)</f>
        <v>0</v>
      </c>
      <c r="AH515" s="105">
        <f t="shared" ref="AH515" si="537">AG515+AA515</f>
        <v>686340</v>
      </c>
      <c r="AI515" s="105">
        <v>686340</v>
      </c>
      <c r="AJ515" s="732">
        <f>AI515/AH515*100</f>
        <v>100</v>
      </c>
    </row>
    <row r="516" spans="1:36" s="348" customFormat="1" ht="41" customHeight="1">
      <c r="A516" s="274"/>
      <c r="B516" s="719"/>
      <c r="C516" s="719">
        <v>2</v>
      </c>
      <c r="D516" s="274"/>
      <c r="E516" s="720" t="s">
        <v>198</v>
      </c>
      <c r="F516" s="711"/>
      <c r="G516" s="712"/>
      <c r="H516" s="879" t="s">
        <v>687</v>
      </c>
      <c r="I516" s="880"/>
      <c r="J516" s="157"/>
      <c r="K516" s="157"/>
      <c r="L516" s="157"/>
      <c r="M516" s="157"/>
      <c r="N516" s="157"/>
      <c r="O516" s="157"/>
      <c r="P516" s="228"/>
      <c r="Q516" s="228"/>
      <c r="R516" s="228"/>
      <c r="S516" s="156"/>
      <c r="T516" s="156"/>
      <c r="U516" s="157"/>
      <c r="V516" s="157"/>
      <c r="W516" s="228"/>
      <c r="X516" s="228"/>
      <c r="Y516" s="228"/>
      <c r="Z516" s="156"/>
      <c r="AA516" s="156"/>
      <c r="AB516" s="157"/>
      <c r="AC516" s="157"/>
      <c r="AD516" s="228">
        <v>600000</v>
      </c>
      <c r="AE516" s="228"/>
      <c r="AF516" s="228"/>
      <c r="AG516" s="105">
        <f>SUM(AB516:AF516)</f>
        <v>600000</v>
      </c>
      <c r="AH516" s="105">
        <f t="shared" ref="AH516" si="538">AG516+AA516</f>
        <v>600000</v>
      </c>
      <c r="AI516" s="156">
        <v>600000</v>
      </c>
      <c r="AJ516" s="732">
        <f>AI516/AH516*100</f>
        <v>100</v>
      </c>
    </row>
    <row r="517" spans="1:36" s="348" customFormat="1" ht="14">
      <c r="A517" s="22"/>
      <c r="B517" s="118"/>
      <c r="C517" s="118"/>
      <c r="D517" s="22"/>
      <c r="E517" s="118"/>
      <c r="F517" s="6"/>
      <c r="G517" s="7"/>
      <c r="H517" s="7"/>
      <c r="I517" s="8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  <c r="Y517" s="46"/>
      <c r="Z517" s="46"/>
      <c r="AA517" s="46"/>
      <c r="AB517" s="46"/>
      <c r="AC517" s="46"/>
      <c r="AD517" s="46"/>
      <c r="AE517" s="46"/>
      <c r="AF517" s="46"/>
      <c r="AG517" s="46"/>
      <c r="AH517" s="46"/>
      <c r="AI517" s="46"/>
      <c r="AJ517" s="734"/>
    </row>
    <row r="518" spans="1:36" s="348" customFormat="1" ht="15" customHeight="1">
      <c r="A518" s="22"/>
      <c r="B518" s="118"/>
      <c r="C518" s="118"/>
      <c r="D518" s="22"/>
      <c r="E518" s="118"/>
      <c r="F518" s="20" t="s">
        <v>37</v>
      </c>
      <c r="G518" s="4"/>
      <c r="H518" s="4"/>
      <c r="I518" s="5"/>
      <c r="J518" s="101"/>
      <c r="K518" s="101">
        <f>SUM(K517:K517)</f>
        <v>0</v>
      </c>
      <c r="L518" s="101">
        <f>SUM(L517:L517)</f>
        <v>0</v>
      </c>
      <c r="M518" s="101">
        <f t="shared" ref="M518" si="539">SUM(M517:M517)</f>
        <v>0</v>
      </c>
      <c r="N518" s="101"/>
      <c r="O518" s="101"/>
      <c r="P518" s="101">
        <f>SUM(P515:P517)</f>
        <v>686340</v>
      </c>
      <c r="Q518" s="101">
        <f t="shared" ref="Q518:T518" si="540">SUM(Q515:Q517)</f>
        <v>0</v>
      </c>
      <c r="R518" s="101">
        <f t="shared" si="540"/>
        <v>0</v>
      </c>
      <c r="S518" s="101">
        <f t="shared" si="540"/>
        <v>686340</v>
      </c>
      <c r="T518" s="101">
        <f t="shared" si="540"/>
        <v>686340</v>
      </c>
      <c r="U518" s="101"/>
      <c r="V518" s="101"/>
      <c r="W518" s="101"/>
      <c r="X518" s="101"/>
      <c r="Y518" s="101"/>
      <c r="Z518" s="101">
        <f t="shared" ref="Z518:AD518" si="541">SUM(Z515:Z517)</f>
        <v>0</v>
      </c>
      <c r="AA518" s="101">
        <f t="shared" si="541"/>
        <v>686340</v>
      </c>
      <c r="AB518" s="101">
        <f t="shared" si="541"/>
        <v>0</v>
      </c>
      <c r="AC518" s="101">
        <f t="shared" si="541"/>
        <v>0</v>
      </c>
      <c r="AD518" s="101">
        <f t="shared" si="541"/>
        <v>600000</v>
      </c>
      <c r="AE518" s="101"/>
      <c r="AF518" s="101"/>
      <c r="AG518" s="101">
        <f t="shared" ref="AG518:AH518" si="542">SUM(AG515:AG517)</f>
        <v>600000</v>
      </c>
      <c r="AH518" s="101">
        <f t="shared" si="542"/>
        <v>1286340</v>
      </c>
      <c r="AI518" s="101">
        <f t="shared" ref="AI518" si="543">SUM(AI515:AI517)</f>
        <v>1286340</v>
      </c>
      <c r="AJ518" s="733">
        <f>AI518/AH518*100</f>
        <v>100</v>
      </c>
    </row>
    <row r="519" spans="1:36" s="348" customFormat="1" ht="14">
      <c r="A519" s="22"/>
      <c r="B519" s="118"/>
      <c r="C519" s="118"/>
      <c r="D519" s="22"/>
      <c r="E519" s="118"/>
      <c r="F519" s="687"/>
      <c r="G519" s="688"/>
      <c r="H519" s="684"/>
      <c r="I519" s="685"/>
      <c r="J519" s="119"/>
      <c r="K519" s="119"/>
      <c r="L519" s="119"/>
      <c r="M519" s="119"/>
      <c r="N519" s="119"/>
      <c r="O519" s="119"/>
      <c r="P519" s="119"/>
      <c r="Q519" s="119"/>
      <c r="R519" s="119"/>
      <c r="S519" s="119"/>
      <c r="T519" s="119"/>
      <c r="U519" s="119"/>
      <c r="V519" s="119"/>
      <c r="W519" s="119"/>
      <c r="X519" s="119"/>
      <c r="Y519" s="119"/>
      <c r="Z519" s="119"/>
      <c r="AA519" s="119"/>
      <c r="AB519" s="119"/>
      <c r="AC519" s="119"/>
      <c r="AD519" s="119"/>
      <c r="AE519" s="119"/>
      <c r="AF519" s="119"/>
      <c r="AG519" s="119"/>
      <c r="AH519" s="119"/>
      <c r="AI519" s="119"/>
      <c r="AJ519" s="751"/>
    </row>
    <row r="520" spans="1:36" s="45" customFormat="1" ht="15" customHeight="1">
      <c r="A520" s="695"/>
      <c r="B520" s="284"/>
      <c r="C520" s="111"/>
      <c r="D520" s="111"/>
      <c r="E520" s="346"/>
      <c r="F520" s="877" t="s">
        <v>432</v>
      </c>
      <c r="G520" s="877"/>
      <c r="H520" s="877"/>
      <c r="I520" s="878"/>
      <c r="J520" s="51">
        <f>J518+J512+J508+J501</f>
        <v>0</v>
      </c>
      <c r="K520" s="51">
        <f t="shared" ref="K520:L520" si="544">K518+K512+K508+K501</f>
        <v>0</v>
      </c>
      <c r="L520" s="51">
        <f t="shared" si="544"/>
        <v>0</v>
      </c>
      <c r="M520" s="51">
        <f t="shared" ref="M520:AA520" si="545">M518+M512+M508+M501</f>
        <v>0</v>
      </c>
      <c r="N520" s="51">
        <f t="shared" si="545"/>
        <v>0</v>
      </c>
      <c r="O520" s="51">
        <f t="shared" si="545"/>
        <v>0</v>
      </c>
      <c r="P520" s="51">
        <f t="shared" si="545"/>
        <v>716340</v>
      </c>
      <c r="Q520" s="51">
        <f t="shared" si="545"/>
        <v>0</v>
      </c>
      <c r="R520" s="51">
        <f t="shared" si="545"/>
        <v>0</v>
      </c>
      <c r="S520" s="51">
        <f t="shared" si="545"/>
        <v>716340</v>
      </c>
      <c r="T520" s="51">
        <f t="shared" si="545"/>
        <v>716340</v>
      </c>
      <c r="U520" s="51">
        <f t="shared" si="545"/>
        <v>0</v>
      </c>
      <c r="V520" s="51">
        <f t="shared" si="545"/>
        <v>0</v>
      </c>
      <c r="W520" s="51">
        <f t="shared" si="545"/>
        <v>238960</v>
      </c>
      <c r="X520" s="51">
        <f t="shared" si="545"/>
        <v>0</v>
      </c>
      <c r="Y520" s="51">
        <f t="shared" si="545"/>
        <v>0</v>
      </c>
      <c r="Z520" s="51">
        <f t="shared" si="545"/>
        <v>238960</v>
      </c>
      <c r="AA520" s="51">
        <f t="shared" si="545"/>
        <v>955300</v>
      </c>
      <c r="AB520" s="51">
        <f t="shared" ref="AB520:AG520" si="546">AB518+AB512+AB508+AB501</f>
        <v>0</v>
      </c>
      <c r="AC520" s="51">
        <f t="shared" si="546"/>
        <v>0</v>
      </c>
      <c r="AD520" s="51">
        <f t="shared" si="546"/>
        <v>800000</v>
      </c>
      <c r="AE520" s="51">
        <f t="shared" si="546"/>
        <v>0</v>
      </c>
      <c r="AF520" s="51">
        <f t="shared" si="546"/>
        <v>0</v>
      </c>
      <c r="AG520" s="51">
        <f t="shared" si="546"/>
        <v>800000</v>
      </c>
      <c r="AH520" s="51">
        <f t="shared" ref="AH520:AI520" si="547">AH518+AH512+AH508+AH501</f>
        <v>1755300</v>
      </c>
      <c r="AI520" s="51">
        <f t="shared" si="547"/>
        <v>1748700</v>
      </c>
      <c r="AJ520" s="737">
        <f>AI520/AH520*100</f>
        <v>99.623995898137068</v>
      </c>
    </row>
    <row r="521" spans="1:36">
      <c r="A521" s="103"/>
      <c r="B521" s="271"/>
      <c r="C521" s="22"/>
      <c r="D521" s="22"/>
      <c r="E521" s="22"/>
      <c r="F521" s="25"/>
      <c r="G521" s="25"/>
      <c r="H521" s="25"/>
      <c r="I521" s="25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734"/>
    </row>
    <row r="522" spans="1:36" s="45" customFormat="1" ht="15" customHeight="1">
      <c r="A522" s="695"/>
      <c r="B522" s="284"/>
      <c r="C522" s="111"/>
      <c r="D522" s="111"/>
      <c r="E522" s="111"/>
      <c r="F522" s="877" t="s">
        <v>251</v>
      </c>
      <c r="G522" s="877"/>
      <c r="H522" s="877"/>
      <c r="I522" s="878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W522" s="51">
        <f>W454</f>
        <v>4048000</v>
      </c>
      <c r="X522" s="51">
        <f t="shared" ref="X522:AA522" si="548">X454</f>
        <v>0</v>
      </c>
      <c r="Y522" s="51">
        <f t="shared" si="548"/>
        <v>0</v>
      </c>
      <c r="Z522" s="51">
        <f t="shared" si="548"/>
        <v>4048000</v>
      </c>
      <c r="AA522" s="51">
        <f t="shared" si="548"/>
        <v>4048000</v>
      </c>
      <c r="AB522" s="51"/>
      <c r="AC522" s="51"/>
      <c r="AD522" s="51">
        <f>AD454</f>
        <v>3511000</v>
      </c>
      <c r="AE522" s="51">
        <f t="shared" ref="AE522:AI522" si="549">AE454</f>
        <v>0</v>
      </c>
      <c r="AF522" s="51">
        <f t="shared" si="549"/>
        <v>0</v>
      </c>
      <c r="AG522" s="51">
        <f t="shared" si="549"/>
        <v>3511000</v>
      </c>
      <c r="AH522" s="51">
        <f t="shared" si="549"/>
        <v>7559000</v>
      </c>
      <c r="AI522" s="51">
        <f t="shared" si="549"/>
        <v>7559000</v>
      </c>
      <c r="AJ522" s="737">
        <f>AI522/AH522*100</f>
        <v>100</v>
      </c>
    </row>
    <row r="523" spans="1:36" s="45" customFormat="1" ht="8" customHeight="1">
      <c r="A523" s="103"/>
      <c r="B523" s="271"/>
      <c r="C523" s="22"/>
      <c r="D523" s="22"/>
      <c r="E523" s="22"/>
      <c r="F523" s="6"/>
      <c r="G523" s="6"/>
      <c r="H523" s="7"/>
      <c r="I523" s="8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734"/>
    </row>
    <row r="524" spans="1:36" s="45" customFormat="1" ht="15" customHeight="1">
      <c r="A524" s="695"/>
      <c r="B524" s="284"/>
      <c r="C524" s="111"/>
      <c r="D524" s="111"/>
      <c r="E524" s="111"/>
      <c r="F524" s="877" t="s">
        <v>200</v>
      </c>
      <c r="G524" s="877"/>
      <c r="H524" s="877"/>
      <c r="I524" s="878"/>
      <c r="J524" s="51">
        <f t="shared" ref="J524:O524" si="550">J495+J487-J463+J459+J440-J416-J415-J414</f>
        <v>1544212915</v>
      </c>
      <c r="K524" s="51">
        <f t="shared" si="550"/>
        <v>5663585935</v>
      </c>
      <c r="L524" s="51">
        <f t="shared" si="550"/>
        <v>7207798850</v>
      </c>
      <c r="M524" s="51">
        <f t="shared" si="550"/>
        <v>0</v>
      </c>
      <c r="N524" s="51">
        <f t="shared" si="550"/>
        <v>0</v>
      </c>
      <c r="O524" s="51">
        <f t="shared" si="550"/>
        <v>0</v>
      </c>
      <c r="P524" s="51">
        <f>P520+P497-P463-P452-P451-P437-P416-P415-P414</f>
        <v>20874131</v>
      </c>
      <c r="Q524" s="51">
        <f t="shared" ref="Q524:V524" si="551">Q520+Q497-Q463-Q452-Q451-Q437-Q416-Q415-Q414</f>
        <v>0</v>
      </c>
      <c r="R524" s="51">
        <f t="shared" si="551"/>
        <v>0</v>
      </c>
      <c r="S524" s="51">
        <f t="shared" si="551"/>
        <v>20874131</v>
      </c>
      <c r="T524" s="51">
        <f t="shared" si="551"/>
        <v>7228672981</v>
      </c>
      <c r="U524" s="51">
        <f t="shared" si="551"/>
        <v>0</v>
      </c>
      <c r="V524" s="51">
        <f t="shared" si="551"/>
        <v>0</v>
      </c>
      <c r="W524" s="51">
        <f>W520+W497-W463-W452-W451-W437-W416-W415-W414-W454-W455-W505</f>
        <v>45830124</v>
      </c>
      <c r="X524" s="51">
        <f t="shared" ref="X524:AA524" si="552">X520+X497-X463-X452-X451-X437-X416-X415-X414-X454-X455-X505</f>
        <v>0</v>
      </c>
      <c r="Y524" s="51">
        <f t="shared" si="552"/>
        <v>0</v>
      </c>
      <c r="Z524" s="51">
        <f t="shared" si="552"/>
        <v>45830124</v>
      </c>
      <c r="AA524" s="51">
        <f t="shared" si="552"/>
        <v>7274503105</v>
      </c>
      <c r="AB524" s="51">
        <f t="shared" ref="AB524:AC524" si="553">AB520+AB497-AB463-AB452-AB451-AB437-AB416-AB415-AB414</f>
        <v>0</v>
      </c>
      <c r="AC524" s="51">
        <f t="shared" si="553"/>
        <v>0</v>
      </c>
      <c r="AD524" s="51">
        <f>AD520+AD497-AD463-AD452-AD451-AD437-AD416-AD415-AD414-AD454-AD455-AD505-AD506-AD516-AD457</f>
        <v>-906552138</v>
      </c>
      <c r="AE524" s="51">
        <f t="shared" ref="AE524:AI524" si="554">AE520+AE497-AE463-AE452-AE451-AE437-AE416-AE415-AE414-AE454-AE455-AE505-AE506-AE516-AE457</f>
        <v>0</v>
      </c>
      <c r="AF524" s="51">
        <f t="shared" si="554"/>
        <v>0</v>
      </c>
      <c r="AG524" s="51">
        <f t="shared" si="554"/>
        <v>-906552138</v>
      </c>
      <c r="AH524" s="51">
        <f t="shared" si="554"/>
        <v>6367950967</v>
      </c>
      <c r="AI524" s="51">
        <f t="shared" si="554"/>
        <v>6367944367</v>
      </c>
      <c r="AJ524" s="737">
        <f>AI524/AH524*100</f>
        <v>99.999896355985868</v>
      </c>
    </row>
    <row r="525" spans="1:36" s="45" customFormat="1" ht="8.5" customHeight="1">
      <c r="A525" s="103"/>
      <c r="B525" s="271"/>
      <c r="C525" s="22"/>
      <c r="D525" s="22"/>
      <c r="E525" s="22"/>
      <c r="F525" s="24"/>
      <c r="G525" s="25"/>
      <c r="H525" s="25"/>
      <c r="I525" s="25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734"/>
    </row>
    <row r="526" spans="1:36" s="45" customFormat="1" ht="15" customHeight="1">
      <c r="A526" s="695"/>
      <c r="B526" s="284"/>
      <c r="C526" s="111"/>
      <c r="D526" s="111"/>
      <c r="E526" s="111"/>
      <c r="F526" s="877" t="s">
        <v>201</v>
      </c>
      <c r="G526" s="877"/>
      <c r="H526" s="877"/>
      <c r="I526" s="878" t="s">
        <v>197</v>
      </c>
      <c r="J526" s="51">
        <f>J463+J416+J415+J414</f>
        <v>26486440</v>
      </c>
      <c r="K526" s="51">
        <f>K463+K416+K415+K414</f>
        <v>927805</v>
      </c>
      <c r="L526" s="51">
        <f>L463+L416+L415+L414</f>
        <v>27414245</v>
      </c>
      <c r="M526" s="51">
        <f>M463+M416+M415+M414+M452+M451+M437</f>
        <v>0</v>
      </c>
      <c r="N526" s="51">
        <f>N463+N416+N415+N414+N452+N451+N437</f>
        <v>0</v>
      </c>
      <c r="O526" s="51">
        <f>O463+O416+O415+O414+O452+O451+O437</f>
        <v>0</v>
      </c>
      <c r="P526" s="51">
        <f>P463+P416+P415+P414+P452+P451+P437</f>
        <v>39310000</v>
      </c>
      <c r="Q526" s="51">
        <f t="shared" ref="Q526:V526" si="555">Q463+Q416+Q415+Q414+Q452+Q451+Q437</f>
        <v>0</v>
      </c>
      <c r="R526" s="51">
        <f t="shared" si="555"/>
        <v>0</v>
      </c>
      <c r="S526" s="51">
        <f t="shared" si="555"/>
        <v>39310000</v>
      </c>
      <c r="T526" s="51">
        <f t="shared" si="555"/>
        <v>66724245</v>
      </c>
      <c r="U526" s="51">
        <f t="shared" si="555"/>
        <v>0</v>
      </c>
      <c r="V526" s="51">
        <f t="shared" si="555"/>
        <v>0</v>
      </c>
      <c r="W526" s="51">
        <f>W463+W416+W415+W414+W452+W451+W437+W505+W455</f>
        <v>10021555</v>
      </c>
      <c r="X526" s="51">
        <f t="shared" ref="X526:AA526" si="556">X463+X416+X415+X414+X452+X451+X437+X505+X455</f>
        <v>0</v>
      </c>
      <c r="Y526" s="51">
        <f t="shared" si="556"/>
        <v>0</v>
      </c>
      <c r="Z526" s="51">
        <f t="shared" si="556"/>
        <v>10021555</v>
      </c>
      <c r="AA526" s="51">
        <f t="shared" si="556"/>
        <v>76745800</v>
      </c>
      <c r="AB526" s="51">
        <f t="shared" ref="AB526:AC526" si="557">AB463+AB416+AB415+AB414+AB452+AB451+AB437</f>
        <v>0</v>
      </c>
      <c r="AC526" s="51">
        <f t="shared" si="557"/>
        <v>0</v>
      </c>
      <c r="AD526" s="51">
        <f>AD463+AD416+AD415+AD414+AD452+AD451+AD437+AD505+AD455+AD516+AD506+AD457</f>
        <v>-5683346</v>
      </c>
      <c r="AE526" s="51">
        <f t="shared" ref="AE526:AI526" si="558">AE463+AE416+AE415+AE414+AE452+AE451+AE437+AE505+AE455+AE516+AE506+AE457</f>
        <v>0</v>
      </c>
      <c r="AF526" s="51">
        <f t="shared" si="558"/>
        <v>0</v>
      </c>
      <c r="AG526" s="51">
        <f t="shared" si="558"/>
        <v>-5683346</v>
      </c>
      <c r="AH526" s="51">
        <f t="shared" si="558"/>
        <v>71062454</v>
      </c>
      <c r="AI526" s="51">
        <f t="shared" si="558"/>
        <v>71062454</v>
      </c>
      <c r="AJ526" s="737">
        <f>AI526/AH526*100</f>
        <v>100</v>
      </c>
    </row>
    <row r="527" spans="1:36" s="45" customFormat="1" ht="7.5" customHeight="1" thickBot="1">
      <c r="A527" s="349"/>
      <c r="B527" s="350"/>
      <c r="C527" s="351"/>
      <c r="D527" s="351"/>
      <c r="E527" s="351"/>
      <c r="F527" s="37"/>
      <c r="G527" s="38"/>
      <c r="H527" s="38"/>
      <c r="I527" s="39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2"/>
      <c r="AG527" s="52"/>
      <c r="AH527" s="52"/>
      <c r="AI527" s="52"/>
      <c r="AJ527" s="754"/>
    </row>
    <row r="528" spans="1:36" s="294" customFormat="1" ht="15" customHeight="1" thickBot="1">
      <c r="A528" s="352"/>
      <c r="B528" s="353"/>
      <c r="C528" s="354"/>
      <c r="D528" s="355"/>
      <c r="E528" s="355"/>
      <c r="F528" s="356" t="s">
        <v>188</v>
      </c>
      <c r="G528" s="357"/>
      <c r="H528" s="357"/>
      <c r="I528" s="358"/>
      <c r="J528" s="359">
        <f>J520+J497</f>
        <v>1570699355</v>
      </c>
      <c r="K528" s="359">
        <f t="shared" ref="K528:L528" si="559">K520+K497</f>
        <v>5664513740</v>
      </c>
      <c r="L528" s="359">
        <f t="shared" si="559"/>
        <v>7235213095</v>
      </c>
      <c r="M528" s="359">
        <f t="shared" ref="M528:P528" si="560">M520+M497</f>
        <v>0</v>
      </c>
      <c r="N528" s="359">
        <f t="shared" si="560"/>
        <v>0</v>
      </c>
      <c r="O528" s="359">
        <f t="shared" si="560"/>
        <v>0</v>
      </c>
      <c r="P528" s="359">
        <f t="shared" si="560"/>
        <v>60184131</v>
      </c>
      <c r="Q528" s="359">
        <f t="shared" ref="Q528:AA528" si="561">Q520+Q497</f>
        <v>0</v>
      </c>
      <c r="R528" s="359">
        <f t="shared" si="561"/>
        <v>0</v>
      </c>
      <c r="S528" s="359">
        <f t="shared" si="561"/>
        <v>60184131</v>
      </c>
      <c r="T528" s="359">
        <f t="shared" si="561"/>
        <v>7295397226</v>
      </c>
      <c r="U528" s="359">
        <f t="shared" si="561"/>
        <v>0</v>
      </c>
      <c r="V528" s="359">
        <f t="shared" si="561"/>
        <v>0</v>
      </c>
      <c r="W528" s="359">
        <f>W520+W497</f>
        <v>59899679</v>
      </c>
      <c r="X528" s="359">
        <f t="shared" si="561"/>
        <v>0</v>
      </c>
      <c r="Y528" s="359">
        <f t="shared" si="561"/>
        <v>0</v>
      </c>
      <c r="Z528" s="359">
        <f t="shared" si="561"/>
        <v>59899679</v>
      </c>
      <c r="AA528" s="359">
        <f t="shared" si="561"/>
        <v>7355296905</v>
      </c>
      <c r="AB528" s="359">
        <f t="shared" ref="AB528:AC528" si="562">AB520+AB497</f>
        <v>0</v>
      </c>
      <c r="AC528" s="359">
        <f t="shared" si="562"/>
        <v>0</v>
      </c>
      <c r="AD528" s="359">
        <f>SUM(AD522:AD526)</f>
        <v>-908724484</v>
      </c>
      <c r="AE528" s="359">
        <f t="shared" ref="AE528:AI528" si="563">SUM(AE522:AE526)</f>
        <v>0</v>
      </c>
      <c r="AF528" s="359">
        <f t="shared" si="563"/>
        <v>0</v>
      </c>
      <c r="AG528" s="359">
        <f t="shared" si="563"/>
        <v>-908724484</v>
      </c>
      <c r="AH528" s="359">
        <f t="shared" si="563"/>
        <v>6446572421</v>
      </c>
      <c r="AI528" s="359">
        <f t="shared" si="563"/>
        <v>6446565821</v>
      </c>
      <c r="AJ528" s="755">
        <f>AI528/AH528*100</f>
        <v>99.999897620013101</v>
      </c>
    </row>
    <row r="529" spans="1:36" s="294" customFormat="1" ht="19" customHeight="1">
      <c r="A529" s="360"/>
      <c r="B529" s="361"/>
      <c r="C529" s="362"/>
      <c r="D529" s="363"/>
      <c r="E529" s="363"/>
      <c r="F529" s="364"/>
      <c r="G529" s="7"/>
      <c r="H529" s="7"/>
      <c r="I529" s="365"/>
      <c r="J529" s="366"/>
      <c r="K529" s="366"/>
      <c r="L529" s="366"/>
      <c r="M529" s="366"/>
      <c r="N529" s="366"/>
      <c r="O529" s="366"/>
      <c r="P529" s="366"/>
      <c r="Q529" s="366"/>
      <c r="R529" s="366"/>
      <c r="S529" s="366"/>
      <c r="T529" s="366"/>
      <c r="U529" s="366"/>
      <c r="V529" s="366"/>
      <c r="W529" s="366"/>
      <c r="X529" s="366"/>
      <c r="Y529" s="366"/>
      <c r="Z529" s="366"/>
      <c r="AA529" s="366"/>
      <c r="AB529" s="366"/>
      <c r="AC529" s="366"/>
      <c r="AD529" s="366"/>
      <c r="AE529" s="366"/>
      <c r="AF529" s="366"/>
      <c r="AG529" s="366"/>
      <c r="AH529" s="366"/>
      <c r="AI529" s="366"/>
      <c r="AJ529" s="756"/>
    </row>
    <row r="530" spans="1:36" s="45" customFormat="1" ht="21.75" customHeight="1">
      <c r="A530" s="103"/>
      <c r="B530" s="323"/>
      <c r="C530" s="118"/>
      <c r="D530" s="22"/>
      <c r="E530" s="22"/>
      <c r="F530" s="882" t="s">
        <v>189</v>
      </c>
      <c r="G530" s="883"/>
      <c r="H530" s="883"/>
      <c r="I530" s="884"/>
      <c r="J530" s="105"/>
      <c r="K530" s="105"/>
      <c r="L530" s="105"/>
      <c r="M530" s="105"/>
      <c r="N530" s="105"/>
      <c r="O530" s="105"/>
      <c r="P530" s="105"/>
      <c r="Q530" s="105"/>
      <c r="R530" s="105"/>
      <c r="S530" s="105"/>
      <c r="T530" s="105"/>
      <c r="U530" s="105"/>
      <c r="V530" s="105"/>
      <c r="W530" s="105"/>
      <c r="X530" s="105"/>
      <c r="Y530" s="105"/>
      <c r="Z530" s="105"/>
      <c r="AA530" s="105"/>
      <c r="AB530" s="105"/>
      <c r="AC530" s="105"/>
      <c r="AD530" s="105"/>
      <c r="AE530" s="105"/>
      <c r="AF530" s="105"/>
      <c r="AG530" s="105"/>
      <c r="AH530" s="105"/>
      <c r="AI530" s="105"/>
      <c r="AJ530" s="732"/>
    </row>
    <row r="531" spans="1:36" s="45" customFormat="1" ht="14">
      <c r="A531" s="103"/>
      <c r="B531" s="323"/>
      <c r="C531" s="118"/>
      <c r="D531" s="22"/>
      <c r="E531" s="22"/>
      <c r="F531" s="885"/>
      <c r="G531" s="883"/>
      <c r="H531" s="883"/>
      <c r="I531" s="884"/>
      <c r="J531" s="105"/>
      <c r="K531" s="105"/>
      <c r="L531" s="105"/>
      <c r="M531" s="105"/>
      <c r="N531" s="105"/>
      <c r="O531" s="105"/>
      <c r="P531" s="105"/>
      <c r="Q531" s="105"/>
      <c r="R531" s="105"/>
      <c r="S531" s="105"/>
      <c r="T531" s="105"/>
      <c r="U531" s="105"/>
      <c r="V531" s="105"/>
      <c r="W531" s="105"/>
      <c r="X531" s="105"/>
      <c r="Y531" s="105"/>
      <c r="Z531" s="105"/>
      <c r="AA531" s="105"/>
      <c r="AB531" s="105"/>
      <c r="AC531" s="105"/>
      <c r="AD531" s="105"/>
      <c r="AE531" s="105"/>
      <c r="AF531" s="105"/>
      <c r="AG531" s="105"/>
      <c r="AH531" s="105"/>
      <c r="AI531" s="105"/>
      <c r="AJ531" s="732"/>
    </row>
    <row r="532" spans="1:36" s="45" customFormat="1" ht="8.5" customHeight="1">
      <c r="A532" s="103"/>
      <c r="B532" s="323"/>
      <c r="C532" s="118"/>
      <c r="D532" s="22"/>
      <c r="E532" s="22"/>
      <c r="F532" s="689"/>
      <c r="G532" s="689"/>
      <c r="H532" s="689"/>
      <c r="I532" s="293"/>
      <c r="J532" s="105"/>
      <c r="K532" s="105"/>
      <c r="L532" s="105"/>
      <c r="M532" s="105"/>
      <c r="N532" s="105"/>
      <c r="O532" s="105"/>
      <c r="P532" s="105"/>
      <c r="Q532" s="105"/>
      <c r="R532" s="105"/>
      <c r="S532" s="105"/>
      <c r="T532" s="105"/>
      <c r="U532" s="105"/>
      <c r="V532" s="105"/>
      <c r="W532" s="105"/>
      <c r="X532" s="105"/>
      <c r="Y532" s="105"/>
      <c r="Z532" s="105"/>
      <c r="AA532" s="105"/>
      <c r="AB532" s="105"/>
      <c r="AC532" s="105"/>
      <c r="AD532" s="105"/>
      <c r="AE532" s="105"/>
      <c r="AF532" s="105"/>
      <c r="AG532" s="105"/>
      <c r="AH532" s="105"/>
      <c r="AI532" s="105"/>
      <c r="AJ532" s="732"/>
    </row>
    <row r="533" spans="1:36" s="45" customFormat="1" ht="14">
      <c r="A533" s="302">
        <v>1</v>
      </c>
      <c r="B533" s="367"/>
      <c r="C533" s="368"/>
      <c r="D533" s="367">
        <v>7</v>
      </c>
      <c r="E533" s="369"/>
      <c r="F533" s="690" t="s">
        <v>31</v>
      </c>
      <c r="G533" s="690"/>
      <c r="H533" s="689"/>
      <c r="I533" s="370"/>
      <c r="J533" s="105"/>
      <c r="K533" s="105"/>
      <c r="L533" s="105"/>
      <c r="M533" s="105"/>
      <c r="N533" s="105"/>
      <c r="O533" s="105"/>
      <c r="P533" s="105"/>
      <c r="Q533" s="105"/>
      <c r="R533" s="105"/>
      <c r="S533" s="105"/>
      <c r="T533" s="105"/>
      <c r="U533" s="105"/>
      <c r="V533" s="105"/>
      <c r="W533" s="105"/>
      <c r="X533" s="105"/>
      <c r="Y533" s="105"/>
      <c r="Z533" s="105"/>
      <c r="AA533" s="105"/>
      <c r="AB533" s="105"/>
      <c r="AC533" s="105"/>
      <c r="AD533" s="105"/>
      <c r="AE533" s="105"/>
      <c r="AF533" s="105"/>
      <c r="AG533" s="105"/>
      <c r="AH533" s="105"/>
      <c r="AI533" s="105"/>
      <c r="AJ533" s="732"/>
    </row>
    <row r="534" spans="1:36" s="45" customFormat="1" ht="14">
      <c r="A534" s="302"/>
      <c r="B534" s="367"/>
      <c r="C534" s="368">
        <v>1</v>
      </c>
      <c r="D534" s="368"/>
      <c r="E534" s="369" t="s">
        <v>199</v>
      </c>
      <c r="F534" s="690"/>
      <c r="G534" s="690"/>
      <c r="H534" s="308" t="s">
        <v>32</v>
      </c>
      <c r="J534" s="105"/>
      <c r="K534" s="105">
        <v>16500000</v>
      </c>
      <c r="L534" s="105">
        <f>SUM(K534)</f>
        <v>16500000</v>
      </c>
      <c r="M534" s="105"/>
      <c r="N534" s="105"/>
      <c r="O534" s="105"/>
      <c r="P534" s="105"/>
      <c r="Q534" s="105"/>
      <c r="R534" s="105"/>
      <c r="S534" s="105">
        <f t="shared" ref="S534:S535" si="564">SUM(M534:R534)</f>
        <v>0</v>
      </c>
      <c r="T534" s="105">
        <f t="shared" ref="T534:T535" si="565">S534+L534</f>
        <v>16500000</v>
      </c>
      <c r="U534" s="105"/>
      <c r="V534" s="105"/>
      <c r="W534" s="105"/>
      <c r="X534" s="105"/>
      <c r="Y534" s="105"/>
      <c r="Z534" s="105">
        <f>SUM(U534:Y534)</f>
        <v>0</v>
      </c>
      <c r="AA534" s="105">
        <f>Z534+T534</f>
        <v>16500000</v>
      </c>
      <c r="AB534" s="105"/>
      <c r="AC534" s="105"/>
      <c r="AD534" s="105"/>
      <c r="AE534" s="105"/>
      <c r="AF534" s="105"/>
      <c r="AG534" s="105">
        <f>SUM(AB534:AF534)</f>
        <v>0</v>
      </c>
      <c r="AH534" s="105">
        <f t="shared" ref="AH534:AH536" si="566">AG534+AA534</f>
        <v>16500000</v>
      </c>
      <c r="AI534" s="105">
        <v>16614861</v>
      </c>
      <c r="AJ534" s="732">
        <f>AI534/AH534*100</f>
        <v>100.69612727272728</v>
      </c>
    </row>
    <row r="535" spans="1:36" s="45" customFormat="1" ht="14">
      <c r="A535" s="302"/>
      <c r="B535" s="367"/>
      <c r="C535" s="368">
        <v>2</v>
      </c>
      <c r="D535" s="368"/>
      <c r="E535" s="369" t="s">
        <v>198</v>
      </c>
      <c r="F535" s="690"/>
      <c r="G535" s="690"/>
      <c r="H535" s="308" t="s">
        <v>17</v>
      </c>
      <c r="J535" s="105"/>
      <c r="K535" s="105">
        <v>7500000</v>
      </c>
      <c r="L535" s="105">
        <f>SUM(K535)</f>
        <v>7500000</v>
      </c>
      <c r="M535" s="105"/>
      <c r="N535" s="105"/>
      <c r="O535" s="105"/>
      <c r="P535" s="105"/>
      <c r="Q535" s="105"/>
      <c r="R535" s="105"/>
      <c r="S535" s="105">
        <f t="shared" si="564"/>
        <v>0</v>
      </c>
      <c r="T535" s="105">
        <f t="shared" si="565"/>
        <v>7500000</v>
      </c>
      <c r="U535" s="105"/>
      <c r="V535" s="105"/>
      <c r="W535" s="105"/>
      <c r="X535" s="105"/>
      <c r="Y535" s="105"/>
      <c r="Z535" s="105">
        <f>SUM(U535:Y535)</f>
        <v>0</v>
      </c>
      <c r="AA535" s="105">
        <f>Z535+T535</f>
        <v>7500000</v>
      </c>
      <c r="AB535" s="105"/>
      <c r="AC535" s="105"/>
      <c r="AD535" s="105"/>
      <c r="AE535" s="105"/>
      <c r="AF535" s="105"/>
      <c r="AG535" s="105">
        <f>SUM(AB535:AF535)</f>
        <v>0</v>
      </c>
      <c r="AH535" s="105">
        <f t="shared" si="566"/>
        <v>7500000</v>
      </c>
      <c r="AI535" s="105">
        <v>10153718</v>
      </c>
      <c r="AJ535" s="732">
        <f>AI535/AH535*100</f>
        <v>135.38290666666666</v>
      </c>
    </row>
    <row r="536" spans="1:36" s="45" customFormat="1" ht="28" customHeight="1">
      <c r="A536" s="304"/>
      <c r="B536" s="371"/>
      <c r="C536" s="372">
        <v>3</v>
      </c>
      <c r="D536" s="372"/>
      <c r="E536" s="369" t="s">
        <v>198</v>
      </c>
      <c r="F536" s="690"/>
      <c r="G536" s="690"/>
      <c r="H536" s="858" t="s">
        <v>641</v>
      </c>
      <c r="I536" s="859"/>
      <c r="J536" s="156"/>
      <c r="K536" s="156"/>
      <c r="L536" s="156"/>
      <c r="M536" s="156"/>
      <c r="N536" s="156"/>
      <c r="O536" s="156">
        <v>92000000</v>
      </c>
      <c r="P536" s="156"/>
      <c r="Q536" s="156"/>
      <c r="R536" s="156"/>
      <c r="S536" s="105">
        <f t="shared" ref="S536" si="567">SUM(M536:R536)</f>
        <v>92000000</v>
      </c>
      <c r="T536" s="105">
        <f t="shared" ref="T536" si="568">S536+L536</f>
        <v>92000000</v>
      </c>
      <c r="U536" s="156"/>
      <c r="V536" s="156"/>
      <c r="W536" s="156"/>
      <c r="X536" s="156"/>
      <c r="Y536" s="156"/>
      <c r="Z536" s="105">
        <f>SUM(U536:Y536)</f>
        <v>0</v>
      </c>
      <c r="AA536" s="105">
        <f>Z536+T536</f>
        <v>92000000</v>
      </c>
      <c r="AB536" s="156"/>
      <c r="AC536" s="156"/>
      <c r="AD536" s="156"/>
      <c r="AE536" s="156"/>
      <c r="AF536" s="156"/>
      <c r="AG536" s="105">
        <f>SUM(AB536:AF536)</f>
        <v>0</v>
      </c>
      <c r="AH536" s="105">
        <f t="shared" si="566"/>
        <v>92000000</v>
      </c>
      <c r="AI536" s="105">
        <v>92000000</v>
      </c>
      <c r="AJ536" s="732">
        <f>AI536/AH536*100</f>
        <v>100</v>
      </c>
    </row>
    <row r="537" spans="1:36" s="45" customFormat="1" ht="14">
      <c r="A537" s="302"/>
      <c r="B537" s="367"/>
      <c r="C537" s="368"/>
      <c r="D537" s="368"/>
      <c r="E537" s="369"/>
      <c r="F537" s="690"/>
      <c r="G537" s="690"/>
      <c r="H537" s="689"/>
      <c r="I537" s="370"/>
      <c r="J537" s="105"/>
      <c r="K537" s="105"/>
      <c r="L537" s="105"/>
      <c r="M537" s="105"/>
      <c r="N537" s="105"/>
      <c r="O537" s="105"/>
      <c r="P537" s="105"/>
      <c r="Q537" s="105"/>
      <c r="R537" s="105"/>
      <c r="S537" s="105"/>
      <c r="T537" s="105"/>
      <c r="U537" s="105"/>
      <c r="V537" s="105"/>
      <c r="W537" s="105"/>
      <c r="X537" s="105"/>
      <c r="Y537" s="105"/>
      <c r="Z537" s="105"/>
      <c r="AA537" s="105"/>
      <c r="AB537" s="105"/>
      <c r="AC537" s="105"/>
      <c r="AD537" s="105"/>
      <c r="AE537" s="105"/>
      <c r="AF537" s="105"/>
      <c r="AG537" s="105"/>
      <c r="AH537" s="105"/>
      <c r="AI537" s="105"/>
      <c r="AJ537" s="732"/>
    </row>
    <row r="538" spans="1:36" s="45" customFormat="1" ht="14">
      <c r="A538" s="302"/>
      <c r="B538" s="367"/>
      <c r="C538" s="368"/>
      <c r="D538" s="368"/>
      <c r="E538" s="369"/>
      <c r="F538" s="20" t="s">
        <v>37</v>
      </c>
      <c r="G538" s="4"/>
      <c r="H538" s="4"/>
      <c r="I538" s="5"/>
      <c r="J538" s="101"/>
      <c r="K538" s="101">
        <f>SUM(K534:K537)</f>
        <v>24000000</v>
      </c>
      <c r="L538" s="101">
        <f>SUM(L534:L537)</f>
        <v>24000000</v>
      </c>
      <c r="M538" s="101">
        <f t="shared" ref="M538:T538" si="569">SUM(M534:M537)</f>
        <v>0</v>
      </c>
      <c r="N538" s="101">
        <f t="shared" si="569"/>
        <v>0</v>
      </c>
      <c r="O538" s="101">
        <f t="shared" si="569"/>
        <v>92000000</v>
      </c>
      <c r="P538" s="101">
        <f t="shared" si="569"/>
        <v>0</v>
      </c>
      <c r="Q538" s="101">
        <f t="shared" si="569"/>
        <v>0</v>
      </c>
      <c r="R538" s="101">
        <f t="shared" si="569"/>
        <v>0</v>
      </c>
      <c r="S538" s="101">
        <f t="shared" si="569"/>
        <v>92000000</v>
      </c>
      <c r="T538" s="101">
        <f t="shared" si="569"/>
        <v>116000000</v>
      </c>
      <c r="U538" s="101"/>
      <c r="V538" s="101"/>
      <c r="W538" s="101"/>
      <c r="X538" s="101"/>
      <c r="Y538" s="101"/>
      <c r="Z538" s="101">
        <f t="shared" ref="Z538:AA538" si="570">SUM(Z534:Z537)</f>
        <v>0</v>
      </c>
      <c r="AA538" s="101">
        <f t="shared" si="570"/>
        <v>116000000</v>
      </c>
      <c r="AB538" s="101"/>
      <c r="AC538" s="101"/>
      <c r="AD538" s="101"/>
      <c r="AE538" s="101"/>
      <c r="AF538" s="101"/>
      <c r="AG538" s="101">
        <f t="shared" ref="AG538:AH538" si="571">SUM(AG534:AG537)</f>
        <v>0</v>
      </c>
      <c r="AH538" s="101">
        <f t="shared" si="571"/>
        <v>116000000</v>
      </c>
      <c r="AI538" s="101">
        <f t="shared" ref="AI538" si="572">SUM(AI534:AI537)</f>
        <v>118768579</v>
      </c>
      <c r="AJ538" s="733">
        <f>AI538/AH538*100</f>
        <v>102.38670603448277</v>
      </c>
    </row>
    <row r="539" spans="1:36" s="45" customFormat="1" ht="16.5" customHeight="1">
      <c r="A539" s="302"/>
      <c r="B539" s="367"/>
      <c r="C539" s="368"/>
      <c r="D539" s="368"/>
      <c r="E539" s="369"/>
      <c r="F539" s="6"/>
      <c r="G539" s="7"/>
      <c r="H539" s="7"/>
      <c r="I539" s="8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734"/>
    </row>
    <row r="540" spans="1:36" s="45" customFormat="1" ht="16.5" customHeight="1">
      <c r="A540" s="695"/>
      <c r="B540" s="284"/>
      <c r="C540" s="111"/>
      <c r="D540" s="111"/>
      <c r="E540" s="111"/>
      <c r="F540" s="877" t="s">
        <v>251</v>
      </c>
      <c r="G540" s="877"/>
      <c r="H540" s="877"/>
      <c r="I540" s="878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W540" s="51"/>
      <c r="X540" s="51"/>
      <c r="Y540" s="51"/>
      <c r="Z540" s="51"/>
      <c r="AA540" s="51"/>
      <c r="AB540" s="51"/>
      <c r="AC540" s="51"/>
      <c r="AD540" s="51"/>
      <c r="AE540" s="51"/>
      <c r="AF540" s="51"/>
      <c r="AG540" s="51"/>
      <c r="AH540" s="51"/>
      <c r="AI540" s="51"/>
      <c r="AJ540" s="737"/>
    </row>
    <row r="541" spans="1:36" s="45" customFormat="1" ht="14">
      <c r="A541" s="103"/>
      <c r="B541" s="271"/>
      <c r="C541" s="22"/>
      <c r="D541" s="22"/>
      <c r="E541" s="22"/>
      <c r="F541" s="6"/>
      <c r="G541" s="6"/>
      <c r="H541" s="7"/>
      <c r="I541" s="8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734"/>
    </row>
    <row r="542" spans="1:36" s="45" customFormat="1" ht="16.5" customHeight="1">
      <c r="A542" s="695"/>
      <c r="B542" s="284"/>
      <c r="C542" s="111"/>
      <c r="D542" s="111"/>
      <c r="E542" s="111"/>
      <c r="F542" s="877" t="s">
        <v>200</v>
      </c>
      <c r="G542" s="877"/>
      <c r="H542" s="877"/>
      <c r="I542" s="878"/>
      <c r="J542" s="51"/>
      <c r="K542" s="51">
        <f>K534</f>
        <v>16500000</v>
      </c>
      <c r="L542" s="51">
        <f>L534</f>
        <v>16500000</v>
      </c>
      <c r="M542" s="51">
        <f t="shared" ref="M542:T542" si="573">M534</f>
        <v>0</v>
      </c>
      <c r="N542" s="51">
        <f t="shared" si="573"/>
        <v>0</v>
      </c>
      <c r="O542" s="51">
        <f t="shared" si="573"/>
        <v>0</v>
      </c>
      <c r="P542" s="51">
        <f t="shared" si="573"/>
        <v>0</v>
      </c>
      <c r="Q542" s="51">
        <f t="shared" si="573"/>
        <v>0</v>
      </c>
      <c r="R542" s="51">
        <f t="shared" si="573"/>
        <v>0</v>
      </c>
      <c r="S542" s="51">
        <f t="shared" si="573"/>
        <v>0</v>
      </c>
      <c r="T542" s="51">
        <f t="shared" si="573"/>
        <v>16500000</v>
      </c>
      <c r="U542" s="51"/>
      <c r="V542" s="51"/>
      <c r="W542" s="51"/>
      <c r="X542" s="51"/>
      <c r="Y542" s="51"/>
      <c r="Z542" s="51">
        <f t="shared" ref="Z542:AA542" si="574">Z534</f>
        <v>0</v>
      </c>
      <c r="AA542" s="51">
        <f t="shared" si="574"/>
        <v>16500000</v>
      </c>
      <c r="AB542" s="51"/>
      <c r="AC542" s="51"/>
      <c r="AD542" s="51"/>
      <c r="AE542" s="51"/>
      <c r="AF542" s="51"/>
      <c r="AG542" s="51">
        <f t="shared" ref="AG542:AH542" si="575">AG534</f>
        <v>0</v>
      </c>
      <c r="AH542" s="51">
        <f t="shared" si="575"/>
        <v>16500000</v>
      </c>
      <c r="AI542" s="51">
        <f t="shared" ref="AI542" si="576">AI534</f>
        <v>16614861</v>
      </c>
      <c r="AJ542" s="737">
        <f>AI542/AH542*100</f>
        <v>100.69612727272728</v>
      </c>
    </row>
    <row r="543" spans="1:36" s="45" customFormat="1" ht="16.5" customHeight="1">
      <c r="A543" s="103"/>
      <c r="B543" s="271"/>
      <c r="C543" s="22"/>
      <c r="D543" s="22"/>
      <c r="E543" s="22"/>
      <c r="F543" s="24"/>
      <c r="G543" s="25"/>
      <c r="H543" s="25"/>
      <c r="I543" s="25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734"/>
    </row>
    <row r="544" spans="1:36" s="45" customFormat="1" ht="16.5" customHeight="1">
      <c r="A544" s="695"/>
      <c r="B544" s="284"/>
      <c r="C544" s="111"/>
      <c r="D544" s="111"/>
      <c r="E544" s="111"/>
      <c r="F544" s="877" t="s">
        <v>201</v>
      </c>
      <c r="G544" s="877"/>
      <c r="H544" s="877"/>
      <c r="I544" s="878" t="s">
        <v>197</v>
      </c>
      <c r="J544" s="51"/>
      <c r="K544" s="51">
        <f>K535</f>
        <v>7500000</v>
      </c>
      <c r="L544" s="51">
        <f>L535</f>
        <v>7500000</v>
      </c>
      <c r="M544" s="51">
        <f t="shared" ref="M544:N544" si="577">M535</f>
        <v>0</v>
      </c>
      <c r="N544" s="51">
        <f t="shared" si="577"/>
        <v>0</v>
      </c>
      <c r="O544" s="51">
        <f>O535+O536</f>
        <v>92000000</v>
      </c>
      <c r="P544" s="51">
        <f t="shared" ref="P544:T544" si="578">P535+P536</f>
        <v>0</v>
      </c>
      <c r="Q544" s="51">
        <f t="shared" si="578"/>
        <v>0</v>
      </c>
      <c r="R544" s="51">
        <f t="shared" si="578"/>
        <v>0</v>
      </c>
      <c r="S544" s="51">
        <f t="shared" si="578"/>
        <v>92000000</v>
      </c>
      <c r="T544" s="51">
        <f t="shared" si="578"/>
        <v>99500000</v>
      </c>
      <c r="U544" s="51"/>
      <c r="V544" s="51"/>
      <c r="W544" s="51"/>
      <c r="X544" s="51"/>
      <c r="Y544" s="51"/>
      <c r="Z544" s="51">
        <f t="shared" ref="Z544:AA544" si="579">Z535+Z536</f>
        <v>0</v>
      </c>
      <c r="AA544" s="51">
        <f t="shared" si="579"/>
        <v>99500000</v>
      </c>
      <c r="AB544" s="51"/>
      <c r="AC544" s="51"/>
      <c r="AD544" s="51"/>
      <c r="AE544" s="51"/>
      <c r="AF544" s="51"/>
      <c r="AG544" s="51">
        <f t="shared" ref="AG544:AH544" si="580">AG535+AG536</f>
        <v>0</v>
      </c>
      <c r="AH544" s="51">
        <f t="shared" si="580"/>
        <v>99500000</v>
      </c>
      <c r="AI544" s="51">
        <f t="shared" ref="AI544" si="581">AI535+AI536</f>
        <v>102153718</v>
      </c>
      <c r="AJ544" s="737">
        <f>AI544/AH544*100</f>
        <v>102.66705326633165</v>
      </c>
    </row>
    <row r="545" spans="1:36" s="294" customFormat="1" ht="16.5" customHeight="1" thickBot="1">
      <c r="A545" s="302"/>
      <c r="B545" s="367"/>
      <c r="C545" s="368"/>
      <c r="D545" s="368"/>
      <c r="E545" s="369"/>
      <c r="F545" s="6"/>
      <c r="G545" s="7"/>
      <c r="H545" s="7"/>
      <c r="I545" s="370"/>
      <c r="J545" s="46"/>
      <c r="K545" s="105"/>
      <c r="L545" s="105"/>
      <c r="M545" s="105"/>
      <c r="N545" s="105"/>
      <c r="O545" s="105"/>
      <c r="P545" s="105"/>
      <c r="Q545" s="105"/>
      <c r="R545" s="105"/>
      <c r="S545" s="105"/>
      <c r="T545" s="105"/>
      <c r="U545" s="105"/>
      <c r="V545" s="105"/>
      <c r="W545" s="105"/>
      <c r="X545" s="105"/>
      <c r="Y545" s="105"/>
      <c r="Z545" s="105"/>
      <c r="AA545" s="105"/>
      <c r="AB545" s="105"/>
      <c r="AC545" s="105"/>
      <c r="AD545" s="105"/>
      <c r="AE545" s="105"/>
      <c r="AF545" s="105"/>
      <c r="AG545" s="105"/>
      <c r="AH545" s="105"/>
      <c r="AI545" s="105"/>
      <c r="AJ545" s="732"/>
    </row>
    <row r="546" spans="1:36" s="45" customFormat="1" ht="14.5" thickBot="1">
      <c r="A546" s="320"/>
      <c r="B546" s="353"/>
      <c r="C546" s="354"/>
      <c r="D546" s="355"/>
      <c r="E546" s="373"/>
      <c r="F546" s="374" t="s">
        <v>103</v>
      </c>
      <c r="G546" s="358"/>
      <c r="H546" s="374"/>
      <c r="I546" s="358"/>
      <c r="J546" s="375"/>
      <c r="K546" s="375">
        <f>K542+K544</f>
        <v>24000000</v>
      </c>
      <c r="L546" s="375">
        <f>L542+L544</f>
        <v>24000000</v>
      </c>
      <c r="M546" s="375">
        <f t="shared" ref="M546:T546" si="582">M542+M544</f>
        <v>0</v>
      </c>
      <c r="N546" s="375">
        <f t="shared" si="582"/>
        <v>0</v>
      </c>
      <c r="O546" s="375">
        <f t="shared" si="582"/>
        <v>92000000</v>
      </c>
      <c r="P546" s="375">
        <f t="shared" si="582"/>
        <v>0</v>
      </c>
      <c r="Q546" s="375">
        <f t="shared" si="582"/>
        <v>0</v>
      </c>
      <c r="R546" s="375">
        <f t="shared" si="582"/>
        <v>0</v>
      </c>
      <c r="S546" s="375">
        <f t="shared" si="582"/>
        <v>92000000</v>
      </c>
      <c r="T546" s="375">
        <f t="shared" si="582"/>
        <v>116000000</v>
      </c>
      <c r="U546" s="375"/>
      <c r="V546" s="375"/>
      <c r="W546" s="375"/>
      <c r="X546" s="375"/>
      <c r="Y546" s="375"/>
      <c r="Z546" s="375">
        <f t="shared" ref="Z546:AA546" si="583">Z542+Z544</f>
        <v>0</v>
      </c>
      <c r="AA546" s="375">
        <f t="shared" si="583"/>
        <v>116000000</v>
      </c>
      <c r="AB546" s="375"/>
      <c r="AC546" s="375"/>
      <c r="AD546" s="375"/>
      <c r="AE546" s="375"/>
      <c r="AF546" s="375"/>
      <c r="AG546" s="375">
        <f t="shared" ref="AG546:AH546" si="584">AG542+AG544</f>
        <v>0</v>
      </c>
      <c r="AH546" s="375">
        <f t="shared" si="584"/>
        <v>116000000</v>
      </c>
      <c r="AI546" s="375">
        <f t="shared" ref="AI546" si="585">AI542+AI544</f>
        <v>118768579</v>
      </c>
      <c r="AJ546" s="757">
        <f>AI546/AH546*100</f>
        <v>102.38670603448277</v>
      </c>
    </row>
    <row r="547" spans="1:36" s="294" customFormat="1" ht="26.25" customHeight="1">
      <c r="A547" s="103"/>
      <c r="B547" s="323"/>
      <c r="C547" s="118"/>
      <c r="D547" s="376"/>
      <c r="E547" s="377"/>
      <c r="F547" s="689"/>
      <c r="G547" s="689"/>
      <c r="H547" s="689"/>
      <c r="I547" s="378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734"/>
    </row>
    <row r="548" spans="1:36" s="45" customFormat="1" ht="17.5">
      <c r="A548" s="103"/>
      <c r="B548" s="323"/>
      <c r="C548" s="118"/>
      <c r="D548" s="22"/>
      <c r="E548" s="22"/>
      <c r="F548" s="379" t="s">
        <v>295</v>
      </c>
      <c r="G548" s="7"/>
      <c r="H548" s="7"/>
      <c r="I548" s="326"/>
      <c r="J548" s="105"/>
      <c r="K548" s="105"/>
      <c r="L548" s="105"/>
      <c r="M548" s="105"/>
      <c r="N548" s="105"/>
      <c r="O548" s="105"/>
      <c r="P548" s="105"/>
      <c r="Q548" s="105"/>
      <c r="R548" s="105"/>
      <c r="S548" s="105"/>
      <c r="T548" s="105"/>
      <c r="U548" s="105"/>
      <c r="V548" s="105"/>
      <c r="W548" s="105"/>
      <c r="X548" s="105"/>
      <c r="Y548" s="105"/>
      <c r="Z548" s="105"/>
      <c r="AA548" s="105"/>
      <c r="AB548" s="105"/>
      <c r="AC548" s="105"/>
      <c r="AD548" s="105"/>
      <c r="AE548" s="105"/>
      <c r="AF548" s="105"/>
      <c r="AG548" s="105"/>
      <c r="AH548" s="105"/>
      <c r="AI548" s="105"/>
      <c r="AJ548" s="732"/>
    </row>
    <row r="549" spans="1:36" s="45" customFormat="1" ht="15">
      <c r="A549" s="103"/>
      <c r="B549" s="323"/>
      <c r="C549" s="118"/>
      <c r="D549" s="22"/>
      <c r="E549" s="22"/>
      <c r="F549" s="380"/>
      <c r="G549" s="7"/>
      <c r="H549" s="7"/>
      <c r="I549" s="326"/>
      <c r="J549" s="105"/>
      <c r="K549" s="105"/>
      <c r="L549" s="105"/>
      <c r="M549" s="105"/>
      <c r="N549" s="105"/>
      <c r="O549" s="105"/>
      <c r="P549" s="105"/>
      <c r="Q549" s="105"/>
      <c r="R549" s="105"/>
      <c r="S549" s="105"/>
      <c r="T549" s="105"/>
      <c r="U549" s="105"/>
      <c r="V549" s="105"/>
      <c r="W549" s="105"/>
      <c r="X549" s="105"/>
      <c r="Y549" s="105"/>
      <c r="Z549" s="105"/>
      <c r="AA549" s="105"/>
      <c r="AB549" s="105"/>
      <c r="AC549" s="105"/>
      <c r="AD549" s="105"/>
      <c r="AE549" s="105"/>
      <c r="AF549" s="105"/>
      <c r="AG549" s="105"/>
      <c r="AH549" s="105"/>
      <c r="AI549" s="105"/>
      <c r="AJ549" s="732"/>
    </row>
    <row r="550" spans="1:36" s="329" customFormat="1" ht="14">
      <c r="A550" s="271">
        <v>1</v>
      </c>
      <c r="B550" s="323"/>
      <c r="C550" s="323"/>
      <c r="D550" s="271">
        <v>8</v>
      </c>
      <c r="E550" s="271" t="s">
        <v>199</v>
      </c>
      <c r="F550" s="9" t="s">
        <v>296</v>
      </c>
      <c r="G550" s="9"/>
      <c r="H550" s="9"/>
      <c r="I550" s="328"/>
      <c r="J550" s="47"/>
      <c r="K550" s="47">
        <v>667617405</v>
      </c>
      <c r="L550" s="46">
        <f>J550+K550</f>
        <v>667617405</v>
      </c>
      <c r="M550" s="46"/>
      <c r="N550" s="46"/>
      <c r="O550" s="46"/>
      <c r="P550" s="46"/>
      <c r="Q550" s="46"/>
      <c r="R550" s="46"/>
      <c r="S550" s="105">
        <f t="shared" ref="S550" si="586">SUM(M550:R550)</f>
        <v>0</v>
      </c>
      <c r="T550" s="105">
        <f t="shared" ref="T550" si="587">S550+L550</f>
        <v>667617405</v>
      </c>
      <c r="U550" s="46"/>
      <c r="V550" s="46"/>
      <c r="W550" s="46"/>
      <c r="X550" s="46"/>
      <c r="Y550" s="46"/>
      <c r="Z550" s="105">
        <f>SUM(U550:Y550)</f>
        <v>0</v>
      </c>
      <c r="AA550" s="105">
        <f>Z550+T550</f>
        <v>667617405</v>
      </c>
      <c r="AB550" s="46"/>
      <c r="AC550" s="46"/>
      <c r="AD550" s="46"/>
      <c r="AE550" s="46"/>
      <c r="AF550" s="46"/>
      <c r="AG550" s="105">
        <f>SUM(AB550:AF550)</f>
        <v>0</v>
      </c>
      <c r="AH550" s="105">
        <f t="shared" ref="AH550" si="588">AG550+AA550</f>
        <v>667617405</v>
      </c>
      <c r="AI550" s="105">
        <v>479376864</v>
      </c>
      <c r="AJ550" s="732">
        <f>AI550/AH550*100</f>
        <v>71.804129192827133</v>
      </c>
    </row>
    <row r="551" spans="1:36" s="45" customFormat="1" ht="8" customHeight="1">
      <c r="A551" s="103"/>
      <c r="B551" s="323"/>
      <c r="C551" s="118"/>
      <c r="D551" s="22"/>
      <c r="E551" s="22"/>
      <c r="F551" s="690"/>
      <c r="G551" s="690"/>
      <c r="H551" s="689"/>
      <c r="I551" s="293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734"/>
    </row>
    <row r="552" spans="1:36" s="45" customFormat="1" ht="14">
      <c r="A552" s="103"/>
      <c r="B552" s="323"/>
      <c r="C552" s="118"/>
      <c r="D552" s="22"/>
      <c r="E552" s="118"/>
      <c r="F552" s="20" t="s">
        <v>37</v>
      </c>
      <c r="G552" s="4"/>
      <c r="H552" s="4"/>
      <c r="I552" s="5"/>
      <c r="J552" s="101"/>
      <c r="K552" s="101">
        <f>SUM(K550:K550)</f>
        <v>667617405</v>
      </c>
      <c r="L552" s="101">
        <f>SUM(L550:L550)</f>
        <v>667617405</v>
      </c>
      <c r="M552" s="101">
        <f t="shared" ref="M552:T552" si="589">SUM(M550:M550)</f>
        <v>0</v>
      </c>
      <c r="N552" s="101">
        <f t="shared" si="589"/>
        <v>0</v>
      </c>
      <c r="O552" s="101">
        <f t="shared" si="589"/>
        <v>0</v>
      </c>
      <c r="P552" s="101">
        <f t="shared" si="589"/>
        <v>0</v>
      </c>
      <c r="Q552" s="101">
        <f t="shared" si="589"/>
        <v>0</v>
      </c>
      <c r="R552" s="101">
        <f t="shared" si="589"/>
        <v>0</v>
      </c>
      <c r="S552" s="101">
        <f t="shared" si="589"/>
        <v>0</v>
      </c>
      <c r="T552" s="101">
        <f t="shared" si="589"/>
        <v>667617405</v>
      </c>
      <c r="U552" s="101"/>
      <c r="V552" s="101"/>
      <c r="W552" s="101"/>
      <c r="X552" s="101"/>
      <c r="Y552" s="101"/>
      <c r="Z552" s="101">
        <f t="shared" ref="Z552:AA552" si="590">SUM(Z550:Z550)</f>
        <v>0</v>
      </c>
      <c r="AA552" s="101">
        <f t="shared" si="590"/>
        <v>667617405</v>
      </c>
      <c r="AB552" s="101"/>
      <c r="AC552" s="101"/>
      <c r="AD552" s="101"/>
      <c r="AE552" s="101"/>
      <c r="AF552" s="101"/>
      <c r="AG552" s="101">
        <f t="shared" ref="AG552:AI552" si="591">SUM(AG550:AG550)</f>
        <v>0</v>
      </c>
      <c r="AH552" s="101">
        <f t="shared" si="591"/>
        <v>667617405</v>
      </c>
      <c r="AI552" s="101">
        <f t="shared" si="591"/>
        <v>479376864</v>
      </c>
      <c r="AJ552" s="733">
        <f>AI552/AH552*100</f>
        <v>71.804129192827133</v>
      </c>
    </row>
    <row r="553" spans="1:36" s="45" customFormat="1" ht="15">
      <c r="A553" s="103"/>
      <c r="B553" s="323"/>
      <c r="C553" s="118"/>
      <c r="D553" s="22"/>
      <c r="E553" s="22"/>
      <c r="F553" s="380"/>
      <c r="G553" s="7"/>
      <c r="H553" s="7"/>
      <c r="I553" s="326"/>
      <c r="J553" s="105"/>
      <c r="K553" s="105"/>
      <c r="L553" s="105"/>
      <c r="M553" s="105"/>
      <c r="N553" s="105"/>
      <c r="O553" s="105"/>
      <c r="P553" s="105"/>
      <c r="Q553" s="105"/>
      <c r="R553" s="105"/>
      <c r="S553" s="105"/>
      <c r="T553" s="105"/>
      <c r="U553" s="105"/>
      <c r="V553" s="105"/>
      <c r="W553" s="105"/>
      <c r="X553" s="105"/>
      <c r="Y553" s="105"/>
      <c r="Z553" s="105"/>
      <c r="AA553" s="105"/>
      <c r="AB553" s="105"/>
      <c r="AC553" s="105"/>
      <c r="AD553" s="105"/>
      <c r="AE553" s="105"/>
      <c r="AF553" s="105"/>
      <c r="AG553" s="105"/>
      <c r="AH553" s="105"/>
      <c r="AI553" s="105"/>
      <c r="AJ553" s="732"/>
    </row>
    <row r="554" spans="1:36" s="45" customFormat="1" ht="14">
      <c r="A554" s="103">
        <v>2</v>
      </c>
      <c r="B554" s="323"/>
      <c r="C554" s="118"/>
      <c r="D554" s="271">
        <v>8</v>
      </c>
      <c r="E554" s="22"/>
      <c r="F554" s="690" t="s">
        <v>297</v>
      </c>
      <c r="G554" s="690"/>
      <c r="H554" s="689"/>
      <c r="I554" s="293"/>
      <c r="J554" s="119"/>
      <c r="K554" s="119"/>
      <c r="L554" s="105"/>
      <c r="M554" s="105"/>
      <c r="N554" s="105"/>
      <c r="O554" s="105"/>
      <c r="P554" s="105"/>
      <c r="Q554" s="105"/>
      <c r="R554" s="105"/>
      <c r="S554" s="105"/>
      <c r="T554" s="105"/>
      <c r="U554" s="105"/>
      <c r="V554" s="105"/>
      <c r="W554" s="105"/>
      <c r="X554" s="105"/>
      <c r="Y554" s="105"/>
      <c r="Z554" s="105"/>
      <c r="AA554" s="105"/>
      <c r="AB554" s="105"/>
      <c r="AC554" s="105"/>
      <c r="AD554" s="105"/>
      <c r="AE554" s="105"/>
      <c r="AF554" s="105"/>
      <c r="AG554" s="105"/>
      <c r="AH554" s="105"/>
      <c r="AI554" s="105"/>
      <c r="AJ554" s="732"/>
    </row>
    <row r="555" spans="1:36" s="45" customFormat="1" ht="14">
      <c r="A555" s="103"/>
      <c r="B555" s="43"/>
      <c r="C555" s="300">
        <v>1</v>
      </c>
      <c r="D555" s="309"/>
      <c r="E555" s="381" t="s">
        <v>199</v>
      </c>
      <c r="F555" s="690"/>
      <c r="G555" s="690"/>
      <c r="H555" s="308" t="s">
        <v>236</v>
      </c>
      <c r="J555" s="105">
        <v>1330104162</v>
      </c>
      <c r="K555" s="105">
        <v>13297072395</v>
      </c>
      <c r="L555" s="105">
        <f>SUM(J555:K555)</f>
        <v>14627176557</v>
      </c>
      <c r="M555" s="105"/>
      <c r="N555" s="105"/>
      <c r="O555" s="105"/>
      <c r="P555" s="105"/>
      <c r="Q555" s="105"/>
      <c r="R555" s="105"/>
      <c r="S555" s="105">
        <f t="shared" ref="S555" si="592">SUM(M555:R555)</f>
        <v>0</v>
      </c>
      <c r="T555" s="105">
        <f t="shared" ref="T555" si="593">S555+L555</f>
        <v>14627176557</v>
      </c>
      <c r="U555" s="105"/>
      <c r="V555" s="105"/>
      <c r="W555" s="105"/>
      <c r="X555" s="105"/>
      <c r="Y555" s="105"/>
      <c r="Z555" s="105">
        <f>SUM(U555:Y555)</f>
        <v>0</v>
      </c>
      <c r="AA555" s="105">
        <f>Z555+T555</f>
        <v>14627176557</v>
      </c>
      <c r="AB555" s="105"/>
      <c r="AC555" s="105"/>
      <c r="AD555" s="105"/>
      <c r="AE555" s="105"/>
      <c r="AF555" s="105"/>
      <c r="AG555" s="105">
        <f>SUM(AB555:AF555)</f>
        <v>0</v>
      </c>
      <c r="AH555" s="105">
        <f t="shared" ref="AH555:AH558" si="594">AG555+AA555</f>
        <v>14627176557</v>
      </c>
      <c r="AI555" s="105">
        <v>14627176557</v>
      </c>
      <c r="AJ555" s="732">
        <f>AI555/AH555*100</f>
        <v>100</v>
      </c>
    </row>
    <row r="556" spans="1:36" s="45" customFormat="1" ht="14">
      <c r="A556" s="273"/>
      <c r="B556" s="43"/>
      <c r="C556" s="300">
        <v>1</v>
      </c>
      <c r="D556" s="382"/>
      <c r="E556" s="381" t="s">
        <v>198</v>
      </c>
      <c r="F556" s="690"/>
      <c r="G556" s="690"/>
      <c r="H556" s="308" t="s">
        <v>236</v>
      </c>
      <c r="J556" s="156">
        <v>38395523</v>
      </c>
      <c r="K556" s="156"/>
      <c r="L556" s="105">
        <f>SUM(J556:K556)</f>
        <v>38395523</v>
      </c>
      <c r="M556" s="105"/>
      <c r="N556" s="105"/>
      <c r="O556" s="105"/>
      <c r="P556" s="105"/>
      <c r="Q556" s="105"/>
      <c r="R556" s="105"/>
      <c r="S556" s="105">
        <f t="shared" ref="S556:S557" si="595">SUM(M556:R556)</f>
        <v>0</v>
      </c>
      <c r="T556" s="105">
        <f t="shared" ref="T556:T557" si="596">S556+L556</f>
        <v>38395523</v>
      </c>
      <c r="U556" s="105"/>
      <c r="V556" s="105"/>
      <c r="W556" s="105"/>
      <c r="X556" s="105"/>
      <c r="Y556" s="105"/>
      <c r="Z556" s="105">
        <f>SUM(U556:Y556)</f>
        <v>0</v>
      </c>
      <c r="AA556" s="105">
        <f>Z556+T556</f>
        <v>38395523</v>
      </c>
      <c r="AB556" s="105"/>
      <c r="AC556" s="105"/>
      <c r="AD556" s="105"/>
      <c r="AE556" s="105"/>
      <c r="AF556" s="105"/>
      <c r="AG556" s="105">
        <f>SUM(AB556:AF556)</f>
        <v>0</v>
      </c>
      <c r="AH556" s="105">
        <f t="shared" si="594"/>
        <v>38395523</v>
      </c>
      <c r="AI556" s="105">
        <v>38395523</v>
      </c>
      <c r="AJ556" s="732">
        <f>AI556/AH556*100</f>
        <v>100</v>
      </c>
    </row>
    <row r="557" spans="1:36" s="45" customFormat="1" ht="14">
      <c r="A557" s="273"/>
      <c r="B557" s="43"/>
      <c r="C557" s="300">
        <v>2</v>
      </c>
      <c r="D557" s="382"/>
      <c r="E557" s="381" t="s">
        <v>199</v>
      </c>
      <c r="F557" s="690"/>
      <c r="G557" s="690"/>
      <c r="H557" s="308" t="s">
        <v>541</v>
      </c>
      <c r="J557" s="156"/>
      <c r="K557" s="156"/>
      <c r="L557" s="156"/>
      <c r="M557" s="156">
        <v>1062215125</v>
      </c>
      <c r="N557" s="156"/>
      <c r="O557" s="156"/>
      <c r="P557" s="156"/>
      <c r="Q557" s="156"/>
      <c r="R557" s="156"/>
      <c r="S557" s="105">
        <f t="shared" si="595"/>
        <v>1062215125</v>
      </c>
      <c r="T557" s="105">
        <f t="shared" si="596"/>
        <v>1062215125</v>
      </c>
      <c r="U557" s="156"/>
      <c r="V557" s="156"/>
      <c r="W557" s="156"/>
      <c r="X557" s="156"/>
      <c r="Y557" s="156"/>
      <c r="Z557" s="105">
        <f>SUM(U557:Y557)</f>
        <v>0</v>
      </c>
      <c r="AA557" s="105">
        <f>Z557+T557</f>
        <v>1062215125</v>
      </c>
      <c r="AB557" s="156"/>
      <c r="AC557" s="156"/>
      <c r="AD557" s="156"/>
      <c r="AE557" s="156"/>
      <c r="AF557" s="156"/>
      <c r="AG557" s="105">
        <f>SUM(AB557:AF557)</f>
        <v>0</v>
      </c>
      <c r="AH557" s="105">
        <f t="shared" si="594"/>
        <v>1062215125</v>
      </c>
      <c r="AI557" s="105">
        <v>1062215125</v>
      </c>
      <c r="AJ557" s="732">
        <f>AI557/AH557*100</f>
        <v>100</v>
      </c>
    </row>
    <row r="558" spans="1:36" s="45" customFormat="1" ht="14">
      <c r="A558" s="103"/>
      <c r="B558" s="43"/>
      <c r="C558" s="300">
        <v>2</v>
      </c>
      <c r="D558" s="382"/>
      <c r="E558" s="381" t="s">
        <v>198</v>
      </c>
      <c r="F558" s="690"/>
      <c r="G558" s="690"/>
      <c r="H558" s="308" t="s">
        <v>541</v>
      </c>
      <c r="J558" s="156"/>
      <c r="K558" s="156"/>
      <c r="L558" s="156"/>
      <c r="M558" s="156">
        <v>151272229</v>
      </c>
      <c r="N558" s="156"/>
      <c r="O558" s="156"/>
      <c r="P558" s="156"/>
      <c r="Q558" s="156"/>
      <c r="R558" s="156"/>
      <c r="S558" s="105">
        <f t="shared" ref="S558" si="597">SUM(M558:R558)</f>
        <v>151272229</v>
      </c>
      <c r="T558" s="105">
        <f t="shared" ref="T558" si="598">S558+L558</f>
        <v>151272229</v>
      </c>
      <c r="U558" s="156"/>
      <c r="V558" s="156"/>
      <c r="W558" s="156"/>
      <c r="X558" s="156"/>
      <c r="Y558" s="156"/>
      <c r="Z558" s="105">
        <f>SUM(U558:Y558)</f>
        <v>0</v>
      </c>
      <c r="AA558" s="105">
        <f>Z558+T558</f>
        <v>151272229</v>
      </c>
      <c r="AB558" s="156"/>
      <c r="AC558" s="156"/>
      <c r="AD558" s="156"/>
      <c r="AE558" s="156"/>
      <c r="AF558" s="156"/>
      <c r="AG558" s="105">
        <f>SUM(AB558:AF558)</f>
        <v>0</v>
      </c>
      <c r="AH558" s="105">
        <f t="shared" si="594"/>
        <v>151272229</v>
      </c>
      <c r="AI558" s="105">
        <v>151272229</v>
      </c>
      <c r="AJ558" s="732">
        <f>AI558/AH558*100</f>
        <v>100</v>
      </c>
    </row>
    <row r="559" spans="1:36" s="45" customFormat="1" ht="14">
      <c r="A559" s="103"/>
      <c r="B559" s="323"/>
      <c r="C559" s="118"/>
      <c r="D559" s="368"/>
      <c r="E559" s="369"/>
      <c r="F559" s="690"/>
      <c r="G559" s="690"/>
      <c r="H559" s="308"/>
      <c r="J559" s="119"/>
      <c r="K559" s="119"/>
      <c r="L559" s="105"/>
      <c r="M559" s="105"/>
      <c r="N559" s="105"/>
      <c r="O559" s="105"/>
      <c r="P559" s="105"/>
      <c r="Q559" s="105"/>
      <c r="R559" s="105"/>
      <c r="S559" s="105"/>
      <c r="T559" s="105"/>
      <c r="U559" s="105"/>
      <c r="V559" s="105"/>
      <c r="W559" s="105"/>
      <c r="X559" s="105"/>
      <c r="Y559" s="105"/>
      <c r="Z559" s="105"/>
      <c r="AA559" s="105"/>
      <c r="AB559" s="105"/>
      <c r="AC559" s="105"/>
      <c r="AD559" s="105"/>
      <c r="AE559" s="105"/>
      <c r="AF559" s="105"/>
      <c r="AG559" s="105"/>
      <c r="AH559" s="105"/>
      <c r="AI559" s="105"/>
      <c r="AJ559" s="732"/>
    </row>
    <row r="560" spans="1:36" s="45" customFormat="1" ht="14">
      <c r="A560" s="103"/>
      <c r="B560" s="323"/>
      <c r="C560" s="118"/>
      <c r="D560" s="22"/>
      <c r="E560" s="118"/>
      <c r="F560" s="20" t="s">
        <v>37</v>
      </c>
      <c r="G560" s="4"/>
      <c r="H560" s="4"/>
      <c r="I560" s="5"/>
      <c r="J560" s="101">
        <f>SUM(J555:J559)</f>
        <v>1368499685</v>
      </c>
      <c r="K560" s="101">
        <f t="shared" ref="K560:T560" si="599">SUM(K555:K559)</f>
        <v>13297072395</v>
      </c>
      <c r="L560" s="101">
        <f t="shared" si="599"/>
        <v>14665572080</v>
      </c>
      <c r="M560" s="101">
        <f t="shared" si="599"/>
        <v>1213487354</v>
      </c>
      <c r="N560" s="101">
        <f t="shared" si="599"/>
        <v>0</v>
      </c>
      <c r="O560" s="101">
        <f t="shared" si="599"/>
        <v>0</v>
      </c>
      <c r="P560" s="101">
        <f t="shared" si="599"/>
        <v>0</v>
      </c>
      <c r="Q560" s="101">
        <f t="shared" si="599"/>
        <v>0</v>
      </c>
      <c r="R560" s="101">
        <f t="shared" si="599"/>
        <v>0</v>
      </c>
      <c r="S560" s="101">
        <f t="shared" si="599"/>
        <v>1213487354</v>
      </c>
      <c r="T560" s="101">
        <f t="shared" si="599"/>
        <v>15879059434</v>
      </c>
      <c r="U560" s="101"/>
      <c r="V560" s="101"/>
      <c r="W560" s="101"/>
      <c r="X560" s="101"/>
      <c r="Y560" s="101"/>
      <c r="Z560" s="101">
        <f t="shared" ref="Z560:AA560" si="600">SUM(Z555:Z559)</f>
        <v>0</v>
      </c>
      <c r="AA560" s="101">
        <f t="shared" si="600"/>
        <v>15879059434</v>
      </c>
      <c r="AB560" s="101"/>
      <c r="AC560" s="101"/>
      <c r="AD560" s="101"/>
      <c r="AE560" s="101"/>
      <c r="AF560" s="101"/>
      <c r="AG560" s="101">
        <f t="shared" ref="AG560:AI560" si="601">SUM(AG555:AG559)</f>
        <v>0</v>
      </c>
      <c r="AH560" s="101">
        <f t="shared" si="601"/>
        <v>15879059434</v>
      </c>
      <c r="AI560" s="101">
        <f t="shared" si="601"/>
        <v>15879059434</v>
      </c>
      <c r="AJ560" s="733">
        <f>AI560/AH560*100</f>
        <v>100</v>
      </c>
    </row>
    <row r="561" spans="1:36" s="45" customFormat="1" ht="15">
      <c r="A561" s="103"/>
      <c r="B561" s="323"/>
      <c r="C561" s="118"/>
      <c r="D561" s="22"/>
      <c r="E561" s="22"/>
      <c r="F561" s="380"/>
      <c r="G561" s="7"/>
      <c r="H561" s="7"/>
      <c r="I561" s="326"/>
      <c r="J561" s="105"/>
      <c r="K561" s="105"/>
      <c r="L561" s="105"/>
      <c r="M561" s="105"/>
      <c r="N561" s="105"/>
      <c r="O561" s="105"/>
      <c r="P561" s="105"/>
      <c r="Q561" s="105"/>
      <c r="R561" s="105"/>
      <c r="S561" s="105"/>
      <c r="T561" s="105"/>
      <c r="U561" s="105"/>
      <c r="V561" s="105"/>
      <c r="W561" s="105"/>
      <c r="X561" s="105"/>
      <c r="Y561" s="105"/>
      <c r="Z561" s="105"/>
      <c r="AA561" s="105"/>
      <c r="AB561" s="105"/>
      <c r="AC561" s="105"/>
      <c r="AD561" s="105"/>
      <c r="AE561" s="105"/>
      <c r="AF561" s="105"/>
      <c r="AG561" s="105"/>
      <c r="AH561" s="105"/>
      <c r="AI561" s="105"/>
      <c r="AJ561" s="732"/>
    </row>
    <row r="562" spans="1:36" s="329" customFormat="1" ht="14">
      <c r="A562" s="271">
        <v>3</v>
      </c>
      <c r="B562" s="323"/>
      <c r="C562" s="323"/>
      <c r="D562" s="271">
        <v>8</v>
      </c>
      <c r="E562" s="271" t="s">
        <v>199</v>
      </c>
      <c r="F562" s="9" t="s">
        <v>379</v>
      </c>
      <c r="G562" s="9"/>
      <c r="H562" s="9"/>
      <c r="I562" s="328"/>
      <c r="J562" s="47">
        <v>5600000000</v>
      </c>
      <c r="K562" s="47"/>
      <c r="L562" s="46">
        <f>J562+K562</f>
        <v>5600000000</v>
      </c>
      <c r="M562" s="46"/>
      <c r="N562" s="46"/>
      <c r="O562" s="46"/>
      <c r="P562" s="46"/>
      <c r="Q562" s="46">
        <v>6950069686</v>
      </c>
      <c r="R562" s="46"/>
      <c r="S562" s="105">
        <f t="shared" ref="S562" si="602">SUM(M562:R562)</f>
        <v>6950069686</v>
      </c>
      <c r="T562" s="105">
        <f t="shared" ref="T562" si="603">S562+L562</f>
        <v>12550069686</v>
      </c>
      <c r="U562" s="46"/>
      <c r="V562" s="46"/>
      <c r="W562" s="46"/>
      <c r="X562" s="46">
        <v>1200000000</v>
      </c>
      <c r="Y562" s="46"/>
      <c r="Z562" s="105">
        <f>SUM(U562:Y562)</f>
        <v>1200000000</v>
      </c>
      <c r="AA562" s="105">
        <f>Z562+T562</f>
        <v>13750069686</v>
      </c>
      <c r="AB562" s="46"/>
      <c r="AC562" s="46">
        <v>-5455649260</v>
      </c>
      <c r="AD562" s="46"/>
      <c r="AE562" s="46">
        <v>300000000</v>
      </c>
      <c r="AF562" s="46"/>
      <c r="AG562" s="105">
        <f>SUM(AB562:AF562)</f>
        <v>-5155649260</v>
      </c>
      <c r="AH562" s="105">
        <f t="shared" ref="AH562" si="604">AG562+AA562</f>
        <v>8594420426</v>
      </c>
      <c r="AI562" s="105">
        <v>8594420426</v>
      </c>
      <c r="AJ562" s="732">
        <f>AI562/AH562*100</f>
        <v>100</v>
      </c>
    </row>
    <row r="563" spans="1:36" s="329" customFormat="1" ht="14">
      <c r="A563" s="274">
        <v>4</v>
      </c>
      <c r="B563" s="719"/>
      <c r="C563" s="719"/>
      <c r="D563" s="274">
        <v>8</v>
      </c>
      <c r="E563" s="719" t="s">
        <v>199</v>
      </c>
      <c r="F563" s="9" t="s">
        <v>688</v>
      </c>
      <c r="G563" s="9"/>
      <c r="H563" s="9"/>
      <c r="I563" s="328"/>
      <c r="J563" s="226"/>
      <c r="K563" s="226"/>
      <c r="L563" s="157"/>
      <c r="M563" s="157"/>
      <c r="N563" s="157"/>
      <c r="O563" s="157"/>
      <c r="P563" s="157"/>
      <c r="Q563" s="157"/>
      <c r="R563" s="157"/>
      <c r="S563" s="156"/>
      <c r="T563" s="156"/>
      <c r="U563" s="157"/>
      <c r="V563" s="157"/>
      <c r="W563" s="157"/>
      <c r="X563" s="157"/>
      <c r="Y563" s="157"/>
      <c r="Z563" s="156"/>
      <c r="AA563" s="156"/>
      <c r="AB563" s="157">
        <v>88615106</v>
      </c>
      <c r="AC563" s="157"/>
      <c r="AD563" s="157"/>
      <c r="AE563" s="157"/>
      <c r="AF563" s="157"/>
      <c r="AG563" s="105">
        <f>SUM(AB563:AF563)</f>
        <v>88615106</v>
      </c>
      <c r="AH563" s="105">
        <f t="shared" ref="AH563" si="605">AG563+AA563</f>
        <v>88615106</v>
      </c>
      <c r="AI563" s="156">
        <v>88615106</v>
      </c>
      <c r="AJ563" s="732">
        <f>AI563/AH563*100</f>
        <v>100</v>
      </c>
    </row>
    <row r="564" spans="1:36" s="45" customFormat="1" ht="14">
      <c r="A564" s="103"/>
      <c r="B564" s="323"/>
      <c r="C564" s="118"/>
      <c r="D564" s="368"/>
      <c r="E564" s="369"/>
      <c r="F564" s="715"/>
      <c r="G564" s="715"/>
      <c r="H564" s="308"/>
      <c r="J564" s="119"/>
      <c r="K564" s="119"/>
      <c r="L564" s="105"/>
      <c r="M564" s="105"/>
      <c r="N564" s="105"/>
      <c r="O564" s="105"/>
      <c r="P564" s="105"/>
      <c r="Q564" s="105"/>
      <c r="R564" s="105"/>
      <c r="S564" s="105"/>
      <c r="T564" s="105"/>
      <c r="U564" s="105"/>
      <c r="V564" s="105"/>
      <c r="W564" s="105"/>
      <c r="X564" s="105"/>
      <c r="Y564" s="105"/>
      <c r="Z564" s="105"/>
      <c r="AA564" s="105"/>
      <c r="AB564" s="105"/>
      <c r="AC564" s="105"/>
      <c r="AD564" s="105"/>
      <c r="AE564" s="105"/>
      <c r="AF564" s="105"/>
      <c r="AG564" s="105"/>
      <c r="AH564" s="105"/>
      <c r="AI564" s="105"/>
      <c r="AJ564" s="732"/>
    </row>
    <row r="565" spans="1:36" s="45" customFormat="1" ht="14">
      <c r="A565" s="103"/>
      <c r="B565" s="323"/>
      <c r="C565" s="118"/>
      <c r="D565" s="22"/>
      <c r="E565" s="118"/>
      <c r="F565" s="20" t="s">
        <v>37</v>
      </c>
      <c r="G565" s="4"/>
      <c r="H565" s="4"/>
      <c r="I565" s="5"/>
      <c r="J565" s="101">
        <f>SUM(J562:J564)</f>
        <v>5600000000</v>
      </c>
      <c r="K565" s="101"/>
      <c r="L565" s="101">
        <f>SUM(L562:L564)</f>
        <v>5600000000</v>
      </c>
      <c r="M565" s="101">
        <f t="shared" ref="M565:T565" si="606">SUM(M562:M564)</f>
        <v>0</v>
      </c>
      <c r="N565" s="101">
        <f t="shared" si="606"/>
        <v>0</v>
      </c>
      <c r="O565" s="101">
        <f t="shared" si="606"/>
        <v>0</v>
      </c>
      <c r="P565" s="101">
        <f t="shared" si="606"/>
        <v>0</v>
      </c>
      <c r="Q565" s="101">
        <f t="shared" si="606"/>
        <v>6950069686</v>
      </c>
      <c r="R565" s="101">
        <f t="shared" si="606"/>
        <v>0</v>
      </c>
      <c r="S565" s="101">
        <f t="shared" si="606"/>
        <v>6950069686</v>
      </c>
      <c r="T565" s="101">
        <f t="shared" si="606"/>
        <v>12550069686</v>
      </c>
      <c r="U565" s="101"/>
      <c r="V565" s="101"/>
      <c r="W565" s="101"/>
      <c r="X565" s="101">
        <f t="shared" ref="X565" si="607">SUM(X562:X564)</f>
        <v>1200000000</v>
      </c>
      <c r="Y565" s="101"/>
      <c r="Z565" s="101">
        <f t="shared" ref="Z565:AD565" si="608">SUM(Z562:Z564)</f>
        <v>1200000000</v>
      </c>
      <c r="AA565" s="101">
        <f t="shared" si="608"/>
        <v>13750069686</v>
      </c>
      <c r="AB565" s="101">
        <f t="shared" si="608"/>
        <v>88615106</v>
      </c>
      <c r="AC565" s="101">
        <f t="shared" si="608"/>
        <v>-5455649260</v>
      </c>
      <c r="AD565" s="101">
        <f t="shared" si="608"/>
        <v>0</v>
      </c>
      <c r="AE565" s="101">
        <f t="shared" ref="AE565" si="609">SUM(AE562:AE564)</f>
        <v>300000000</v>
      </c>
      <c r="AF565" s="101"/>
      <c r="AG565" s="101">
        <f t="shared" ref="AG565:AH565" si="610">SUM(AG562:AG564)</f>
        <v>-5067034154</v>
      </c>
      <c r="AH565" s="101">
        <f t="shared" si="610"/>
        <v>8683035532</v>
      </c>
      <c r="AI565" s="101">
        <f t="shared" ref="AI565" si="611">SUM(AI562:AI564)</f>
        <v>8683035532</v>
      </c>
      <c r="AJ565" s="733">
        <f>AI565/AH565*100</f>
        <v>100</v>
      </c>
    </row>
    <row r="566" spans="1:36" s="45" customFormat="1" ht="14">
      <c r="A566" s="103"/>
      <c r="B566" s="323"/>
      <c r="C566" s="118"/>
      <c r="D566" s="368"/>
      <c r="E566" s="369"/>
      <c r="F566" s="690"/>
      <c r="G566" s="690"/>
      <c r="H566" s="689"/>
      <c r="I566" s="370"/>
      <c r="J566" s="119"/>
      <c r="K566" s="119"/>
      <c r="L566" s="105"/>
      <c r="M566" s="105"/>
      <c r="N566" s="105"/>
      <c r="O566" s="105"/>
      <c r="P566" s="105"/>
      <c r="Q566" s="105"/>
      <c r="R566" s="105"/>
      <c r="S566" s="105"/>
      <c r="T566" s="105"/>
      <c r="U566" s="105"/>
      <c r="V566" s="105"/>
      <c r="W566" s="105"/>
      <c r="X566" s="105"/>
      <c r="Y566" s="105"/>
      <c r="Z566" s="105"/>
      <c r="AA566" s="105"/>
      <c r="AB566" s="105"/>
      <c r="AC566" s="105"/>
      <c r="AD566" s="105"/>
      <c r="AE566" s="105"/>
      <c r="AF566" s="105"/>
      <c r="AG566" s="105"/>
      <c r="AH566" s="105"/>
      <c r="AI566" s="105"/>
      <c r="AJ566" s="732"/>
    </row>
    <row r="567" spans="1:36" s="45" customFormat="1" ht="14">
      <c r="A567" s="695"/>
      <c r="B567" s="284"/>
      <c r="C567" s="111"/>
      <c r="D567" s="111"/>
      <c r="E567" s="111"/>
      <c r="F567" s="877" t="s">
        <v>200</v>
      </c>
      <c r="G567" s="877"/>
      <c r="H567" s="877"/>
      <c r="I567" s="878"/>
      <c r="J567" s="51">
        <f>J562+J555+J550</f>
        <v>6930104162</v>
      </c>
      <c r="K567" s="51">
        <f t="shared" ref="K567:L567" si="612">K562+K555+K550</f>
        <v>13964689800</v>
      </c>
      <c r="L567" s="51">
        <f t="shared" si="612"/>
        <v>20894793962</v>
      </c>
      <c r="M567" s="51">
        <f>M562+M555+M550+M557</f>
        <v>1062215125</v>
      </c>
      <c r="N567" s="51">
        <f t="shared" ref="N567:T567" si="613">N562+N555+N550+N557</f>
        <v>0</v>
      </c>
      <c r="O567" s="51">
        <f t="shared" si="613"/>
        <v>0</v>
      </c>
      <c r="P567" s="51">
        <f t="shared" si="613"/>
        <v>0</v>
      </c>
      <c r="Q567" s="51">
        <f t="shared" si="613"/>
        <v>6950069686</v>
      </c>
      <c r="R567" s="51">
        <f t="shared" si="613"/>
        <v>0</v>
      </c>
      <c r="S567" s="51">
        <f t="shared" si="613"/>
        <v>8012284811</v>
      </c>
      <c r="T567" s="51">
        <f t="shared" si="613"/>
        <v>28907078773</v>
      </c>
      <c r="U567" s="51"/>
      <c r="V567" s="51"/>
      <c r="W567" s="51"/>
      <c r="X567" s="51">
        <f t="shared" ref="X567" si="614">X562+X555+X550+X557</f>
        <v>1200000000</v>
      </c>
      <c r="Y567" s="51"/>
      <c r="Z567" s="51">
        <f t="shared" ref="Z567:AA567" si="615">Z562+Z555+Z550+Z557</f>
        <v>1200000000</v>
      </c>
      <c r="AA567" s="51">
        <f t="shared" si="615"/>
        <v>30107078773</v>
      </c>
      <c r="AB567" s="51">
        <f>AB562+AB555+AB550+AB557+AB563</f>
        <v>88615106</v>
      </c>
      <c r="AC567" s="51">
        <f t="shared" ref="AC567:AI567" si="616">AC562+AC555+AC550+AC557+AC563</f>
        <v>-5455649260</v>
      </c>
      <c r="AD567" s="51">
        <f t="shared" si="616"/>
        <v>0</v>
      </c>
      <c r="AE567" s="51">
        <f t="shared" si="616"/>
        <v>300000000</v>
      </c>
      <c r="AF567" s="51">
        <f t="shared" si="616"/>
        <v>0</v>
      </c>
      <c r="AG567" s="51">
        <f t="shared" si="616"/>
        <v>-5067034154</v>
      </c>
      <c r="AH567" s="51">
        <f t="shared" si="616"/>
        <v>25040044619</v>
      </c>
      <c r="AI567" s="51">
        <f t="shared" si="616"/>
        <v>24851804078</v>
      </c>
      <c r="AJ567" s="737">
        <f>AI567/AH567*100</f>
        <v>99.248241990522786</v>
      </c>
    </row>
    <row r="568" spans="1:36" s="45" customFormat="1" ht="14">
      <c r="A568" s="721"/>
      <c r="B568" s="722"/>
      <c r="C568" s="723"/>
      <c r="D568" s="723"/>
      <c r="E568" s="723"/>
      <c r="F568" s="25"/>
      <c r="G568" s="25"/>
      <c r="H568" s="25"/>
      <c r="I568" s="25"/>
      <c r="J568" s="157"/>
      <c r="K568" s="157"/>
      <c r="L568" s="157"/>
      <c r="M568" s="157"/>
      <c r="N568" s="157"/>
      <c r="O568" s="157"/>
      <c r="P568" s="157"/>
      <c r="Q568" s="157"/>
      <c r="R568" s="157"/>
      <c r="S568" s="157"/>
      <c r="T568" s="157"/>
      <c r="U568" s="157"/>
      <c r="V568" s="157"/>
      <c r="W568" s="157"/>
      <c r="X568" s="157"/>
      <c r="Y568" s="157"/>
      <c r="Z568" s="157"/>
      <c r="AA568" s="157"/>
      <c r="AB568" s="157"/>
      <c r="AC568" s="157"/>
      <c r="AD568" s="157"/>
      <c r="AE568" s="157"/>
      <c r="AF568" s="157"/>
      <c r="AG568" s="157"/>
      <c r="AH568" s="157"/>
      <c r="AI568" s="157"/>
      <c r="AJ568" s="749"/>
    </row>
    <row r="569" spans="1:36" s="45" customFormat="1" ht="16.5" customHeight="1">
      <c r="A569" s="695"/>
      <c r="B569" s="284"/>
      <c r="C569" s="111"/>
      <c r="D569" s="111"/>
      <c r="E569" s="111"/>
      <c r="F569" s="877" t="s">
        <v>201</v>
      </c>
      <c r="G569" s="877"/>
      <c r="H569" s="877"/>
      <c r="I569" s="878" t="s">
        <v>197</v>
      </c>
      <c r="J569" s="51">
        <f>J556</f>
        <v>38395523</v>
      </c>
      <c r="K569" s="51">
        <f t="shared" ref="K569:L569" si="617">K556</f>
        <v>0</v>
      </c>
      <c r="L569" s="51">
        <f t="shared" si="617"/>
        <v>38395523</v>
      </c>
      <c r="M569" s="51">
        <f t="shared" ref="M569:T569" si="618">M556+M558</f>
        <v>151272229</v>
      </c>
      <c r="N569" s="51">
        <f t="shared" si="618"/>
        <v>0</v>
      </c>
      <c r="O569" s="51">
        <f t="shared" si="618"/>
        <v>0</v>
      </c>
      <c r="P569" s="51">
        <f t="shared" si="618"/>
        <v>0</v>
      </c>
      <c r="Q569" s="51">
        <f t="shared" si="618"/>
        <v>0</v>
      </c>
      <c r="R569" s="51">
        <f t="shared" si="618"/>
        <v>0</v>
      </c>
      <c r="S569" s="51">
        <f t="shared" si="618"/>
        <v>151272229</v>
      </c>
      <c r="T569" s="51">
        <f t="shared" si="618"/>
        <v>189667752</v>
      </c>
      <c r="U569" s="51"/>
      <c r="V569" s="51"/>
      <c r="W569" s="51"/>
      <c r="X569" s="51">
        <f t="shared" ref="X569" si="619">X556+X558</f>
        <v>0</v>
      </c>
      <c r="Y569" s="51"/>
      <c r="Z569" s="51">
        <f t="shared" ref="Z569:AA569" si="620">Z556+Z558</f>
        <v>0</v>
      </c>
      <c r="AA569" s="51">
        <f t="shared" si="620"/>
        <v>189667752</v>
      </c>
      <c r="AB569" s="51"/>
      <c r="AC569" s="51"/>
      <c r="AD569" s="51"/>
      <c r="AE569" s="51">
        <f t="shared" ref="AE569" si="621">AE556+AE558</f>
        <v>0</v>
      </c>
      <c r="AF569" s="51"/>
      <c r="AG569" s="51">
        <f t="shared" ref="AG569:AH569" si="622">AG556+AG558</f>
        <v>0</v>
      </c>
      <c r="AH569" s="51">
        <f t="shared" si="622"/>
        <v>189667752</v>
      </c>
      <c r="AI569" s="51">
        <f t="shared" ref="AI569" si="623">AI556+AI558</f>
        <v>189667752</v>
      </c>
      <c r="AJ569" s="737">
        <f>AI569/AH569*100</f>
        <v>100</v>
      </c>
    </row>
    <row r="570" spans="1:36" s="45" customFormat="1" ht="14.5" thickBot="1">
      <c r="A570" s="103"/>
      <c r="B570" s="323"/>
      <c r="C570" s="118"/>
      <c r="D570" s="22"/>
      <c r="E570" s="118"/>
      <c r="F570" s="6"/>
      <c r="G570" s="7"/>
      <c r="H570" s="7"/>
      <c r="I570" s="8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734"/>
    </row>
    <row r="571" spans="1:36" s="45" customFormat="1" ht="14.5" thickBot="1">
      <c r="A571" s="320"/>
      <c r="B571" s="353"/>
      <c r="C571" s="354"/>
      <c r="D571" s="355"/>
      <c r="E571" s="373"/>
      <c r="F571" s="374" t="s">
        <v>104</v>
      </c>
      <c r="G571" s="358"/>
      <c r="H571" s="374"/>
      <c r="I571" s="358"/>
      <c r="J571" s="375">
        <f>J569+J567</f>
        <v>6968499685</v>
      </c>
      <c r="K571" s="375">
        <f>K569+K567</f>
        <v>13964689800</v>
      </c>
      <c r="L571" s="375">
        <f>L569+L567</f>
        <v>20933189485</v>
      </c>
      <c r="M571" s="375">
        <f t="shared" ref="M571:T571" si="624">M569+M567</f>
        <v>1213487354</v>
      </c>
      <c r="N571" s="375">
        <f t="shared" si="624"/>
        <v>0</v>
      </c>
      <c r="O571" s="375">
        <f t="shared" si="624"/>
        <v>0</v>
      </c>
      <c r="P571" s="375">
        <f t="shared" si="624"/>
        <v>0</v>
      </c>
      <c r="Q571" s="375">
        <f t="shared" si="624"/>
        <v>6950069686</v>
      </c>
      <c r="R571" s="375">
        <f t="shared" si="624"/>
        <v>0</v>
      </c>
      <c r="S571" s="375">
        <f t="shared" si="624"/>
        <v>8163557040</v>
      </c>
      <c r="T571" s="375">
        <f t="shared" si="624"/>
        <v>29096746525</v>
      </c>
      <c r="U571" s="375"/>
      <c r="V571" s="375"/>
      <c r="W571" s="375"/>
      <c r="X571" s="375">
        <f t="shared" ref="X571" si="625">X569+X567</f>
        <v>1200000000</v>
      </c>
      <c r="Y571" s="375"/>
      <c r="Z571" s="375">
        <f t="shared" ref="Z571:AD571" si="626">Z569+Z567</f>
        <v>1200000000</v>
      </c>
      <c r="AA571" s="375">
        <f t="shared" si="626"/>
        <v>30296746525</v>
      </c>
      <c r="AB571" s="375">
        <f t="shared" si="626"/>
        <v>88615106</v>
      </c>
      <c r="AC571" s="375">
        <f t="shared" si="626"/>
        <v>-5455649260</v>
      </c>
      <c r="AD571" s="375">
        <f t="shared" si="626"/>
        <v>0</v>
      </c>
      <c r="AE571" s="375">
        <f t="shared" ref="AE571" si="627">AE569+AE567</f>
        <v>300000000</v>
      </c>
      <c r="AF571" s="375"/>
      <c r="AG571" s="375">
        <f t="shared" ref="AG571:AH571" si="628">AG569+AG567</f>
        <v>-5067034154</v>
      </c>
      <c r="AH571" s="375">
        <f t="shared" si="628"/>
        <v>25229712371</v>
      </c>
      <c r="AI571" s="375">
        <f t="shared" ref="AI571" si="629">AI569+AI567</f>
        <v>25041471830</v>
      </c>
      <c r="AJ571" s="757">
        <f>AI571/AH571*100</f>
        <v>99.25389343234697</v>
      </c>
    </row>
    <row r="572" spans="1:36">
      <c r="A572" s="103"/>
      <c r="B572" s="271"/>
      <c r="C572" s="22"/>
      <c r="D572" s="22"/>
      <c r="E572" s="22"/>
      <c r="F572" s="25"/>
      <c r="G572" s="25"/>
      <c r="H572" s="25"/>
      <c r="I572" s="25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734"/>
    </row>
    <row r="573" spans="1:36" s="45" customFormat="1" ht="14">
      <c r="A573" s="695"/>
      <c r="B573" s="284"/>
      <c r="C573" s="111"/>
      <c r="D573" s="111"/>
      <c r="E573" s="111"/>
      <c r="F573" s="877" t="s">
        <v>251</v>
      </c>
      <c r="G573" s="877"/>
      <c r="H573" s="877"/>
      <c r="I573" s="878"/>
      <c r="J573" s="51">
        <f>J540+J522+J402+J275+J131</f>
        <v>42049965</v>
      </c>
      <c r="K573" s="51"/>
      <c r="L573" s="51">
        <f t="shared" ref="L573:AA573" si="630">L540+L522+L402+L275+L131</f>
        <v>42049965</v>
      </c>
      <c r="M573" s="51">
        <f t="shared" si="630"/>
        <v>421527</v>
      </c>
      <c r="N573" s="51">
        <f t="shared" si="630"/>
        <v>0</v>
      </c>
      <c r="O573" s="51">
        <f t="shared" si="630"/>
        <v>0</v>
      </c>
      <c r="P573" s="51">
        <f t="shared" si="630"/>
        <v>0</v>
      </c>
      <c r="Q573" s="51">
        <f t="shared" si="630"/>
        <v>0</v>
      </c>
      <c r="R573" s="51">
        <f t="shared" si="630"/>
        <v>0</v>
      </c>
      <c r="S573" s="51">
        <f t="shared" si="630"/>
        <v>421527</v>
      </c>
      <c r="T573" s="51">
        <f t="shared" si="630"/>
        <v>42471492</v>
      </c>
      <c r="U573" s="51">
        <f t="shared" si="630"/>
        <v>0</v>
      </c>
      <c r="V573" s="51">
        <f t="shared" si="630"/>
        <v>0</v>
      </c>
      <c r="W573" s="51">
        <f t="shared" si="630"/>
        <v>4048000</v>
      </c>
      <c r="X573" s="51">
        <f t="shared" si="630"/>
        <v>0</v>
      </c>
      <c r="Y573" s="51">
        <f t="shared" si="630"/>
        <v>0</v>
      </c>
      <c r="Z573" s="51">
        <f t="shared" si="630"/>
        <v>4048000</v>
      </c>
      <c r="AA573" s="51">
        <f t="shared" si="630"/>
        <v>46519492</v>
      </c>
      <c r="AB573" s="51">
        <f t="shared" ref="AB573:AG573" si="631">AB540+AB522+AB402+AB275+AB131</f>
        <v>0</v>
      </c>
      <c r="AC573" s="51">
        <f t="shared" si="631"/>
        <v>0</v>
      </c>
      <c r="AD573" s="51">
        <f t="shared" si="631"/>
        <v>3511000</v>
      </c>
      <c r="AE573" s="51">
        <f t="shared" si="631"/>
        <v>0</v>
      </c>
      <c r="AF573" s="51">
        <f t="shared" si="631"/>
        <v>0</v>
      </c>
      <c r="AG573" s="51">
        <f t="shared" si="631"/>
        <v>3511000</v>
      </c>
      <c r="AH573" s="51">
        <f t="shared" ref="AH573:AI573" si="632">AH540+AH522+AH402+AH275+AH131</f>
        <v>50030492</v>
      </c>
      <c r="AI573" s="51">
        <f t="shared" si="632"/>
        <v>50076147</v>
      </c>
      <c r="AJ573" s="737">
        <f>AI573/AH573*100</f>
        <v>100.09125434944752</v>
      </c>
    </row>
    <row r="574" spans="1:36" s="45" customFormat="1" ht="14">
      <c r="A574" s="103"/>
      <c r="B574" s="271"/>
      <c r="C574" s="22"/>
      <c r="D574" s="22"/>
      <c r="E574" s="22"/>
      <c r="F574" s="6"/>
      <c r="G574" s="6"/>
      <c r="H574" s="7"/>
      <c r="I574" s="8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734"/>
    </row>
    <row r="575" spans="1:36" s="45" customFormat="1" ht="14">
      <c r="A575" s="695"/>
      <c r="B575" s="284"/>
      <c r="C575" s="111"/>
      <c r="D575" s="111"/>
      <c r="E575" s="111"/>
      <c r="F575" s="877" t="s">
        <v>200</v>
      </c>
      <c r="G575" s="877"/>
      <c r="H575" s="877"/>
      <c r="I575" s="878"/>
      <c r="J575" s="51">
        <f t="shared" ref="J575:AA575" si="633">J567+J542+J524+J404+J277+J133</f>
        <v>15731571664</v>
      </c>
      <c r="K575" s="51">
        <f t="shared" si="633"/>
        <v>20151396300</v>
      </c>
      <c r="L575" s="51">
        <f t="shared" si="633"/>
        <v>35524480964</v>
      </c>
      <c r="M575" s="51">
        <f t="shared" si="633"/>
        <v>1900740559</v>
      </c>
      <c r="N575" s="51">
        <f t="shared" si="633"/>
        <v>111560010</v>
      </c>
      <c r="O575" s="51">
        <f t="shared" si="633"/>
        <v>149930314</v>
      </c>
      <c r="P575" s="51">
        <f t="shared" si="633"/>
        <v>20874131</v>
      </c>
      <c r="Q575" s="51">
        <f t="shared" si="633"/>
        <v>6950069686</v>
      </c>
      <c r="R575" s="51">
        <f t="shared" si="633"/>
        <v>240651215</v>
      </c>
      <c r="S575" s="51">
        <f t="shared" si="633"/>
        <v>9373825915</v>
      </c>
      <c r="T575" s="51">
        <f t="shared" si="633"/>
        <v>44898306879</v>
      </c>
      <c r="U575" s="51">
        <f t="shared" si="633"/>
        <v>118437396</v>
      </c>
      <c r="V575" s="51">
        <f t="shared" si="633"/>
        <v>7764832</v>
      </c>
      <c r="W575" s="51">
        <f t="shared" si="633"/>
        <v>45830124</v>
      </c>
      <c r="X575" s="51">
        <f t="shared" si="633"/>
        <v>1200000000</v>
      </c>
      <c r="Y575" s="51">
        <f t="shared" si="633"/>
        <v>216095062</v>
      </c>
      <c r="Z575" s="51">
        <f t="shared" si="633"/>
        <v>1588127414</v>
      </c>
      <c r="AA575" s="51">
        <f t="shared" si="633"/>
        <v>46486434293</v>
      </c>
      <c r="AB575" s="51">
        <f t="shared" ref="AB575:AG575" si="634">AB567+AB542+AB524+AB404+AB277+AB133</f>
        <v>1342591235</v>
      </c>
      <c r="AC575" s="51">
        <f t="shared" si="634"/>
        <v>-5316567830</v>
      </c>
      <c r="AD575" s="51">
        <f t="shared" si="634"/>
        <v>-906552138</v>
      </c>
      <c r="AE575" s="51">
        <f t="shared" si="634"/>
        <v>302749177</v>
      </c>
      <c r="AF575" s="51">
        <f t="shared" si="634"/>
        <v>76674623</v>
      </c>
      <c r="AG575" s="51">
        <f t="shared" si="634"/>
        <v>-4501104933</v>
      </c>
      <c r="AH575" s="51">
        <f t="shared" ref="AH575:AI575" si="635">AH567+AH542+AH524+AH404+AH277+AH133</f>
        <v>41985329360</v>
      </c>
      <c r="AI575" s="51">
        <f t="shared" si="635"/>
        <v>41804083178</v>
      </c>
      <c r="AJ575" s="737">
        <f>AI575/AH575*100</f>
        <v>99.568310681938641</v>
      </c>
    </row>
    <row r="576" spans="1:36" s="45" customFormat="1" ht="14">
      <c r="A576" s="103"/>
      <c r="B576" s="271"/>
      <c r="C576" s="22"/>
      <c r="D576" s="22"/>
      <c r="E576" s="22"/>
      <c r="F576" s="24"/>
      <c r="G576" s="25"/>
      <c r="H576" s="25"/>
      <c r="I576" s="25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734"/>
    </row>
    <row r="577" spans="1:36" s="45" customFormat="1" ht="14">
      <c r="A577" s="695"/>
      <c r="B577" s="284"/>
      <c r="C577" s="111"/>
      <c r="D577" s="111"/>
      <c r="E577" s="111"/>
      <c r="F577" s="877" t="s">
        <v>201</v>
      </c>
      <c r="G577" s="877"/>
      <c r="H577" s="877"/>
      <c r="I577" s="878" t="s">
        <v>197</v>
      </c>
      <c r="J577" s="51">
        <f t="shared" ref="J577:AA577" si="636">J544+J526+J406+J279+J135+J569</f>
        <v>3860874937</v>
      </c>
      <c r="K577" s="51">
        <f t="shared" si="636"/>
        <v>21627805</v>
      </c>
      <c r="L577" s="51">
        <f t="shared" si="636"/>
        <v>3882502742</v>
      </c>
      <c r="M577" s="51">
        <f t="shared" si="636"/>
        <v>157940334</v>
      </c>
      <c r="N577" s="51">
        <f t="shared" si="636"/>
        <v>0</v>
      </c>
      <c r="O577" s="51">
        <f t="shared" si="636"/>
        <v>92000000</v>
      </c>
      <c r="P577" s="51">
        <f t="shared" si="636"/>
        <v>39310000</v>
      </c>
      <c r="Q577" s="51">
        <f t="shared" si="636"/>
        <v>0</v>
      </c>
      <c r="R577" s="51">
        <f t="shared" si="636"/>
        <v>0</v>
      </c>
      <c r="S577" s="51">
        <f t="shared" si="636"/>
        <v>289250334</v>
      </c>
      <c r="T577" s="51">
        <f t="shared" si="636"/>
        <v>4171753076</v>
      </c>
      <c r="U577" s="51">
        <f t="shared" si="636"/>
        <v>0</v>
      </c>
      <c r="V577" s="51">
        <f t="shared" si="636"/>
        <v>0</v>
      </c>
      <c r="W577" s="51">
        <f t="shared" si="636"/>
        <v>10021555</v>
      </c>
      <c r="X577" s="51">
        <f t="shared" si="636"/>
        <v>0</v>
      </c>
      <c r="Y577" s="51">
        <f t="shared" si="636"/>
        <v>287350</v>
      </c>
      <c r="Z577" s="51">
        <f t="shared" si="636"/>
        <v>10308905</v>
      </c>
      <c r="AA577" s="51">
        <f t="shared" si="636"/>
        <v>4182061981</v>
      </c>
      <c r="AB577" s="51">
        <f t="shared" ref="AB577:AG577" si="637">AB544+AB526+AB406+AB279+AB135+AB569</f>
        <v>0</v>
      </c>
      <c r="AC577" s="51">
        <f t="shared" si="637"/>
        <v>31505394</v>
      </c>
      <c r="AD577" s="51">
        <f t="shared" si="637"/>
        <v>-5683346</v>
      </c>
      <c r="AE577" s="51">
        <f t="shared" si="637"/>
        <v>0</v>
      </c>
      <c r="AF577" s="51">
        <f t="shared" si="637"/>
        <v>7547319</v>
      </c>
      <c r="AG577" s="51">
        <f t="shared" si="637"/>
        <v>33369367</v>
      </c>
      <c r="AH577" s="51">
        <f t="shared" ref="AH577:AI577" si="638">AH544+AH526+AH406+AH279+AH135+AH569</f>
        <v>4215431348</v>
      </c>
      <c r="AI577" s="51">
        <f t="shared" si="638"/>
        <v>4437444011</v>
      </c>
      <c r="AJ577" s="737">
        <f>AI577/AH577*100</f>
        <v>105.26666536997058</v>
      </c>
    </row>
    <row r="578" spans="1:36" s="45" customFormat="1" ht="14.5" thickBot="1">
      <c r="A578" s="349"/>
      <c r="B578" s="350"/>
      <c r="C578" s="351"/>
      <c r="D578" s="351"/>
      <c r="E578" s="351"/>
      <c r="F578" s="25"/>
      <c r="G578" s="25"/>
      <c r="H578" s="25"/>
      <c r="I578" s="25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734"/>
    </row>
    <row r="579" spans="1:36" s="45" customFormat="1" thickBot="1">
      <c r="A579" s="383"/>
      <c r="B579" s="353"/>
      <c r="C579" s="354"/>
      <c r="D579" s="355"/>
      <c r="E579" s="355"/>
      <c r="F579" s="356" t="s">
        <v>105</v>
      </c>
      <c r="G579" s="358"/>
      <c r="H579" s="374"/>
      <c r="I579" s="358"/>
      <c r="J579" s="375">
        <f t="shared" ref="J579:AA579" si="639">J571+J546+J528+J408+J281+J137</f>
        <v>19634496566</v>
      </c>
      <c r="K579" s="375">
        <f t="shared" si="639"/>
        <v>20173024105</v>
      </c>
      <c r="L579" s="384">
        <f t="shared" si="639"/>
        <v>39449033671</v>
      </c>
      <c r="M579" s="384">
        <f t="shared" si="639"/>
        <v>2059102420</v>
      </c>
      <c r="N579" s="384">
        <f t="shared" si="639"/>
        <v>111560010</v>
      </c>
      <c r="O579" s="384">
        <f t="shared" si="639"/>
        <v>241930314</v>
      </c>
      <c r="P579" s="384">
        <f t="shared" si="639"/>
        <v>60184131</v>
      </c>
      <c r="Q579" s="384">
        <f t="shared" si="639"/>
        <v>6950069686</v>
      </c>
      <c r="R579" s="384">
        <f t="shared" si="639"/>
        <v>240651215</v>
      </c>
      <c r="S579" s="384">
        <f t="shared" si="639"/>
        <v>9663497776</v>
      </c>
      <c r="T579" s="384">
        <f t="shared" si="639"/>
        <v>49112531447</v>
      </c>
      <c r="U579" s="384">
        <f t="shared" si="639"/>
        <v>118437396</v>
      </c>
      <c r="V579" s="384">
        <f t="shared" si="639"/>
        <v>7764832</v>
      </c>
      <c r="W579" s="384">
        <f t="shared" si="639"/>
        <v>59899679</v>
      </c>
      <c r="X579" s="384">
        <f t="shared" si="639"/>
        <v>1200000000</v>
      </c>
      <c r="Y579" s="384">
        <f t="shared" si="639"/>
        <v>216382412</v>
      </c>
      <c r="Z579" s="384">
        <f t="shared" si="639"/>
        <v>1602484319</v>
      </c>
      <c r="AA579" s="384">
        <f t="shared" si="639"/>
        <v>50715015766</v>
      </c>
      <c r="AB579" s="384">
        <f t="shared" ref="AB579:AG579" si="640">AB571+AB546+AB528+AB408+AB281+AB137</f>
        <v>1342591235</v>
      </c>
      <c r="AC579" s="384">
        <f t="shared" si="640"/>
        <v>-5285062436</v>
      </c>
      <c r="AD579" s="384">
        <f t="shared" si="640"/>
        <v>-908724484</v>
      </c>
      <c r="AE579" s="384">
        <f t="shared" si="640"/>
        <v>302749177</v>
      </c>
      <c r="AF579" s="384">
        <f t="shared" si="640"/>
        <v>84221942</v>
      </c>
      <c r="AG579" s="384">
        <f t="shared" si="640"/>
        <v>-4464224566</v>
      </c>
      <c r="AH579" s="384">
        <f t="shared" ref="AH579:AI579" si="641">AH571+AH546+AH528+AH408+AH281+AH137</f>
        <v>46250791200</v>
      </c>
      <c r="AI579" s="384">
        <f t="shared" si="641"/>
        <v>46291603336</v>
      </c>
      <c r="AJ579" s="758">
        <f>AI579/AH579*100</f>
        <v>100.08824094667597</v>
      </c>
    </row>
  </sheetData>
  <mergeCells count="207">
    <mergeCell ref="AB4:AG4"/>
    <mergeCell ref="AH4:AH5"/>
    <mergeCell ref="AI4:AI5"/>
    <mergeCell ref="AJ4:AJ5"/>
    <mergeCell ref="F577:I577"/>
    <mergeCell ref="F330:I330"/>
    <mergeCell ref="F526:I526"/>
    <mergeCell ref="F499:I499"/>
    <mergeCell ref="F503:I503"/>
    <mergeCell ref="H443:I443"/>
    <mergeCell ref="H362:I362"/>
    <mergeCell ref="F575:I575"/>
    <mergeCell ref="F343:I343"/>
    <mergeCell ref="H435:I435"/>
    <mergeCell ref="H490:I490"/>
    <mergeCell ref="F461:I461"/>
    <mergeCell ref="F410:I410"/>
    <mergeCell ref="F489:I489"/>
    <mergeCell ref="F406:I406"/>
    <mergeCell ref="G358:I358"/>
    <mergeCell ref="F409:I409"/>
    <mergeCell ref="H444:I444"/>
    <mergeCell ref="F573:I573"/>
    <mergeCell ref="F402:I402"/>
    <mergeCell ref="A4:A5"/>
    <mergeCell ref="B4:B5"/>
    <mergeCell ref="C4:C5"/>
    <mergeCell ref="D4:D5"/>
    <mergeCell ref="E4:E5"/>
    <mergeCell ref="H5:I5"/>
    <mergeCell ref="F133:I133"/>
    <mergeCell ref="F135:I135"/>
    <mergeCell ref="H333:I333"/>
    <mergeCell ref="H155:I155"/>
    <mergeCell ref="H160:I160"/>
    <mergeCell ref="F191:I191"/>
    <mergeCell ref="H183:I183"/>
    <mergeCell ref="H202:I202"/>
    <mergeCell ref="H203:I203"/>
    <mergeCell ref="H204:I204"/>
    <mergeCell ref="F324:I324"/>
    <mergeCell ref="H114:I114"/>
    <mergeCell ref="G286:I286"/>
    <mergeCell ref="F293:I293"/>
    <mergeCell ref="H228:I228"/>
    <mergeCell ref="H178:I178"/>
    <mergeCell ref="H322:I322"/>
    <mergeCell ref="H174:I174"/>
    <mergeCell ref="H201:I201"/>
    <mergeCell ref="G312:I312"/>
    <mergeCell ref="H175:I175"/>
    <mergeCell ref="F162:I162"/>
    <mergeCell ref="H195:I195"/>
    <mergeCell ref="H177:I177"/>
    <mergeCell ref="H196:I196"/>
    <mergeCell ref="H205:I205"/>
    <mergeCell ref="H253:I253"/>
    <mergeCell ref="H255:I255"/>
    <mergeCell ref="H256:I256"/>
    <mergeCell ref="H257:I257"/>
    <mergeCell ref="F193:I193"/>
    <mergeCell ref="F277:I277"/>
    <mergeCell ref="H254:I254"/>
    <mergeCell ref="G304:I304"/>
    <mergeCell ref="F281:I281"/>
    <mergeCell ref="H226:I226"/>
    <mergeCell ref="H176:I176"/>
    <mergeCell ref="H184:I184"/>
    <mergeCell ref="H227:I227"/>
    <mergeCell ref="H252:I252"/>
    <mergeCell ref="G294:I294"/>
    <mergeCell ref="F279:I279"/>
    <mergeCell ref="L4:L5"/>
    <mergeCell ref="J4:J5"/>
    <mergeCell ref="K4:K5"/>
    <mergeCell ref="F4:I4"/>
    <mergeCell ref="F131:I131"/>
    <mergeCell ref="H103:I103"/>
    <mergeCell ref="H91:I91"/>
    <mergeCell ref="H173:I173"/>
    <mergeCell ref="H165:I165"/>
    <mergeCell ref="F167:I167"/>
    <mergeCell ref="H143:I143"/>
    <mergeCell ref="H150:I150"/>
    <mergeCell ref="F146:I146"/>
    <mergeCell ref="F152:I152"/>
    <mergeCell ref="F157:I157"/>
    <mergeCell ref="H149:I149"/>
    <mergeCell ref="H92:I92"/>
    <mergeCell ref="H106:I106"/>
    <mergeCell ref="H124:I124"/>
    <mergeCell ref="H428:I428"/>
    <mergeCell ref="H424:I424"/>
    <mergeCell ref="H425:I425"/>
    <mergeCell ref="H426:I426"/>
    <mergeCell ref="F302:I302"/>
    <mergeCell ref="H422:I422"/>
    <mergeCell ref="H414:I414"/>
    <mergeCell ref="H415:I415"/>
    <mergeCell ref="H416:I416"/>
    <mergeCell ref="H417:I417"/>
    <mergeCell ref="H423:I423"/>
    <mergeCell ref="H427:I427"/>
    <mergeCell ref="F408:I408"/>
    <mergeCell ref="F382:I382"/>
    <mergeCell ref="F404:I404"/>
    <mergeCell ref="H388:I388"/>
    <mergeCell ref="H389:I389"/>
    <mergeCell ref="H390:I390"/>
    <mergeCell ref="H398:I398"/>
    <mergeCell ref="H361:I361"/>
    <mergeCell ref="F378:I378"/>
    <mergeCell ref="H418:I418"/>
    <mergeCell ref="H419:I419"/>
    <mergeCell ref="H420:I420"/>
    <mergeCell ref="H436:I436"/>
    <mergeCell ref="H437:I437"/>
    <mergeCell ref="H448:I448"/>
    <mergeCell ref="H449:I449"/>
    <mergeCell ref="H450:I450"/>
    <mergeCell ref="H433:I433"/>
    <mergeCell ref="H434:I434"/>
    <mergeCell ref="H446:I446"/>
    <mergeCell ref="H447:I447"/>
    <mergeCell ref="H438:I438"/>
    <mergeCell ref="F540:I540"/>
    <mergeCell ref="H506:I506"/>
    <mergeCell ref="H462:I462"/>
    <mergeCell ref="H463:I463"/>
    <mergeCell ref="H464:I464"/>
    <mergeCell ref="H465:I465"/>
    <mergeCell ref="H466:I466"/>
    <mergeCell ref="H445:I445"/>
    <mergeCell ref="H451:I451"/>
    <mergeCell ref="H452:I452"/>
    <mergeCell ref="H453:I453"/>
    <mergeCell ref="H454:I454"/>
    <mergeCell ref="H455:I455"/>
    <mergeCell ref="H456:I456"/>
    <mergeCell ref="H457:I457"/>
    <mergeCell ref="H516:I516"/>
    <mergeCell ref="H431:I431"/>
    <mergeCell ref="H432:I432"/>
    <mergeCell ref="F569:I569"/>
    <mergeCell ref="H476:I476"/>
    <mergeCell ref="H477:I477"/>
    <mergeCell ref="H478:I478"/>
    <mergeCell ref="H479:I479"/>
    <mergeCell ref="H480:I480"/>
    <mergeCell ref="H481:I481"/>
    <mergeCell ref="H482:I482"/>
    <mergeCell ref="H483:I483"/>
    <mergeCell ref="H491:I491"/>
    <mergeCell ref="F524:I524"/>
    <mergeCell ref="F544:I544"/>
    <mergeCell ref="F567:I567"/>
    <mergeCell ref="F510:I510"/>
    <mergeCell ref="F542:I542"/>
    <mergeCell ref="F520:I520"/>
    <mergeCell ref="F530:I531"/>
    <mergeCell ref="F522:I522"/>
    <mergeCell ref="H515:I515"/>
    <mergeCell ref="H536:I536"/>
    <mergeCell ref="H485:I485"/>
    <mergeCell ref="H505:I505"/>
    <mergeCell ref="AA4:AA5"/>
    <mergeCell ref="F514:I514"/>
    <mergeCell ref="F497:I497"/>
    <mergeCell ref="H467:I467"/>
    <mergeCell ref="H468:I468"/>
    <mergeCell ref="H469:I469"/>
    <mergeCell ref="H470:I470"/>
    <mergeCell ref="H471:I471"/>
    <mergeCell ref="H472:I472"/>
    <mergeCell ref="H473:I473"/>
    <mergeCell ref="H474:I474"/>
    <mergeCell ref="H475:I475"/>
    <mergeCell ref="H484:I484"/>
    <mergeCell ref="H504:I504"/>
    <mergeCell ref="H429:I429"/>
    <mergeCell ref="H430:I430"/>
    <mergeCell ref="H413:I413"/>
    <mergeCell ref="M4:S4"/>
    <mergeCell ref="T4:T5"/>
    <mergeCell ref="H492:I492"/>
    <mergeCell ref="H493:I493"/>
    <mergeCell ref="F275:I275"/>
    <mergeCell ref="H185:I185"/>
    <mergeCell ref="U4:Z4"/>
    <mergeCell ref="H421:I421"/>
    <mergeCell ref="F337:I337"/>
    <mergeCell ref="F373:I373"/>
    <mergeCell ref="F357:I357"/>
    <mergeCell ref="G332:I332"/>
    <mergeCell ref="F365:I365"/>
    <mergeCell ref="G367:I367"/>
    <mergeCell ref="H363:I363"/>
    <mergeCell ref="H295:I295"/>
    <mergeCell ref="F307:I307"/>
    <mergeCell ref="H305:I305"/>
    <mergeCell ref="F311:I311"/>
    <mergeCell ref="G326:I326"/>
    <mergeCell ref="H327:I327"/>
    <mergeCell ref="F297:I297"/>
    <mergeCell ref="F348:I348"/>
    <mergeCell ref="F353:I353"/>
    <mergeCell ref="G299:I299"/>
  </mergeCells>
  <phoneticPr fontId="0" type="noConversion"/>
  <printOptions horizontalCentered="1"/>
  <pageMargins left="0.35433070866141736" right="0.35433070866141736" top="0.78740157480314965" bottom="0.78740157480314965" header="0.51181102362204722" footer="0.51181102362204722"/>
  <pageSetup paperSize="9" scale="70" orientation="portrait" r:id="rId1"/>
  <headerFooter alignWithMargins="0">
    <oddHeader>&amp;C&amp;"H_Garamond ITC BkCn BT,Normál"&amp;11 &amp;"Times New Roman CE,Normál"&amp;10 1. melléklet - &amp;P. oldal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J2294"/>
  <sheetViews>
    <sheetView showGridLines="0" tabSelected="1" view="pageBreakPreview" zoomScaleNormal="100" zoomScaleSheetLayoutView="100" workbookViewId="0">
      <pane xSplit="9" ySplit="6" topLeftCell="L1209" activePane="bottomRight" state="frozenSplit"/>
      <selection activeCell="C1" sqref="C1"/>
      <selection pane="topRight" activeCell="J1" sqref="J1"/>
      <selection pane="bottomLeft" activeCell="C6" sqref="C6"/>
      <selection pane="bottomRight" activeCell="I1215" sqref="I1215"/>
    </sheetView>
  </sheetViews>
  <sheetFormatPr defaultRowHeight="13"/>
  <cols>
    <col min="1" max="1" width="4.26953125" style="127" customWidth="1"/>
    <col min="2" max="2" width="5.453125" style="422" customWidth="1"/>
    <col min="3" max="3" width="6" style="422" customWidth="1"/>
    <col min="4" max="4" width="6.54296875" style="422" customWidth="1"/>
    <col min="5" max="5" width="6" style="422" customWidth="1"/>
    <col min="6" max="6" width="4.26953125" style="127" customWidth="1"/>
    <col min="7" max="7" width="5.7265625" style="422" customWidth="1"/>
    <col min="8" max="8" width="5.81640625" style="127" customWidth="1"/>
    <col min="9" max="9" width="52" style="127" customWidth="1"/>
    <col min="10" max="10" width="14.54296875" style="386" hidden="1" customWidth="1"/>
    <col min="11" max="11" width="15.1796875" style="386" hidden="1" customWidth="1"/>
    <col min="12" max="12" width="13.6328125" style="386" customWidth="1"/>
    <col min="13" max="18" width="15.54296875" style="386" hidden="1" customWidth="1"/>
    <col min="19" max="20" width="15.36328125" style="386" hidden="1" customWidth="1"/>
    <col min="21" max="25" width="15.54296875" style="386" hidden="1" customWidth="1"/>
    <col min="26" max="27" width="15.36328125" style="386" hidden="1" customWidth="1"/>
    <col min="28" max="32" width="15.54296875" style="386" hidden="1" customWidth="1"/>
    <col min="33" max="33" width="15.36328125" style="386" hidden="1" customWidth="1"/>
    <col min="34" max="34" width="13.26953125" style="386" customWidth="1"/>
    <col min="35" max="35" width="13.36328125" style="386" customWidth="1"/>
    <col min="36" max="36" width="6.6328125" style="761" customWidth="1"/>
    <col min="37" max="16384" width="8.7265625" style="127"/>
  </cols>
  <sheetData>
    <row r="1" spans="1:36">
      <c r="A1" s="239" t="s">
        <v>30</v>
      </c>
      <c r="B1" s="239"/>
      <c r="C1" s="239"/>
      <c r="D1" s="239"/>
      <c r="E1" s="239"/>
      <c r="F1" s="239"/>
      <c r="G1" s="239"/>
      <c r="H1" s="239"/>
      <c r="I1" s="239"/>
      <c r="J1" s="385"/>
      <c r="K1" s="385"/>
      <c r="M1" s="254"/>
      <c r="N1" s="254"/>
      <c r="O1" s="254"/>
      <c r="P1" s="254"/>
      <c r="Q1" s="254"/>
      <c r="R1" s="254"/>
      <c r="T1" s="243"/>
      <c r="U1" s="254"/>
      <c r="V1" s="254"/>
      <c r="W1" s="254"/>
      <c r="X1" s="254"/>
      <c r="Y1" s="254"/>
      <c r="AB1" s="254"/>
      <c r="AC1" s="254"/>
      <c r="AD1" s="254"/>
      <c r="AE1" s="254"/>
      <c r="AF1" s="254"/>
      <c r="AH1" s="243"/>
      <c r="AI1" s="243"/>
      <c r="AJ1" s="243" t="s">
        <v>676</v>
      </c>
    </row>
    <row r="2" spans="1:36">
      <c r="A2" s="239"/>
      <c r="B2" s="239"/>
      <c r="C2" s="239"/>
      <c r="D2" s="239"/>
      <c r="E2" s="239"/>
      <c r="F2" s="239"/>
      <c r="G2" s="239"/>
      <c r="H2" s="239"/>
      <c r="I2" s="239"/>
      <c r="J2" s="385"/>
      <c r="K2" s="385"/>
      <c r="M2" s="385"/>
      <c r="N2" s="385"/>
      <c r="O2" s="385"/>
      <c r="P2" s="385"/>
      <c r="Q2" s="385"/>
      <c r="R2" s="385"/>
      <c r="T2" s="243"/>
      <c r="U2" s="385"/>
      <c r="V2" s="385"/>
      <c r="W2" s="385"/>
      <c r="X2" s="385"/>
      <c r="Y2" s="385"/>
      <c r="AB2" s="385"/>
      <c r="AC2" s="385"/>
      <c r="AD2" s="385"/>
      <c r="AE2" s="385"/>
      <c r="AF2" s="385"/>
    </row>
    <row r="3" spans="1:36" ht="13.5" thickBot="1">
      <c r="A3" s="248"/>
      <c r="B3" s="248"/>
      <c r="C3" s="388"/>
      <c r="D3" s="389"/>
      <c r="E3" s="388"/>
      <c r="F3" s="390"/>
      <c r="G3" s="390"/>
      <c r="H3" s="390"/>
      <c r="I3" s="391"/>
      <c r="J3" s="385"/>
      <c r="K3" s="385"/>
      <c r="M3" s="254"/>
      <c r="N3" s="254"/>
      <c r="O3" s="254"/>
      <c r="P3" s="254"/>
      <c r="Q3" s="254"/>
      <c r="R3" s="254"/>
      <c r="S3" s="127"/>
      <c r="T3" s="243"/>
      <c r="U3" s="254"/>
      <c r="V3" s="254"/>
      <c r="W3" s="254"/>
      <c r="X3" s="254"/>
      <c r="Y3" s="254"/>
      <c r="Z3" s="127"/>
      <c r="AB3" s="254"/>
      <c r="AC3" s="254"/>
      <c r="AD3" s="254"/>
      <c r="AE3" s="254"/>
      <c r="AF3" s="254"/>
      <c r="AG3" s="127"/>
      <c r="AH3" s="243"/>
      <c r="AI3" s="243"/>
      <c r="AJ3" s="243" t="s">
        <v>378</v>
      </c>
    </row>
    <row r="4" spans="1:36" ht="18.5" customHeight="1" thickBot="1">
      <c r="A4" s="932" t="s">
        <v>95</v>
      </c>
      <c r="B4" s="932" t="s">
        <v>33</v>
      </c>
      <c r="C4" s="933" t="s">
        <v>140</v>
      </c>
      <c r="D4" s="933" t="s">
        <v>275</v>
      </c>
      <c r="E4" s="934" t="s">
        <v>196</v>
      </c>
      <c r="F4" s="945" t="s">
        <v>62</v>
      </c>
      <c r="G4" s="945"/>
      <c r="H4" s="945"/>
      <c r="I4" s="945"/>
      <c r="J4" s="393"/>
      <c r="K4" s="393"/>
      <c r="L4" s="931" t="s">
        <v>535</v>
      </c>
      <c r="M4" s="944" t="s">
        <v>606</v>
      </c>
      <c r="N4" s="944"/>
      <c r="O4" s="944"/>
      <c r="P4" s="944"/>
      <c r="Q4" s="944"/>
      <c r="R4" s="944"/>
      <c r="S4" s="944"/>
      <c r="T4" s="873" t="s">
        <v>605</v>
      </c>
      <c r="U4" s="881" t="s">
        <v>606</v>
      </c>
      <c r="V4" s="881"/>
      <c r="W4" s="881"/>
      <c r="X4" s="881"/>
      <c r="Y4" s="881"/>
      <c r="Z4" s="881"/>
      <c r="AA4" s="873" t="s">
        <v>650</v>
      </c>
      <c r="AB4" s="881" t="s">
        <v>606</v>
      </c>
      <c r="AC4" s="881"/>
      <c r="AD4" s="881"/>
      <c r="AE4" s="881"/>
      <c r="AF4" s="881"/>
      <c r="AG4" s="881"/>
      <c r="AH4" s="873" t="s">
        <v>672</v>
      </c>
      <c r="AI4" s="873" t="s">
        <v>673</v>
      </c>
      <c r="AJ4" s="925" t="s">
        <v>674</v>
      </c>
    </row>
    <row r="5" spans="1:36" ht="7.5" customHeight="1" thickBot="1">
      <c r="A5" s="932"/>
      <c r="B5" s="932"/>
      <c r="C5" s="933"/>
      <c r="D5" s="933"/>
      <c r="E5" s="934"/>
      <c r="F5" s="945"/>
      <c r="G5" s="945"/>
      <c r="H5" s="945"/>
      <c r="I5" s="945"/>
      <c r="J5" s="931" t="s">
        <v>450</v>
      </c>
      <c r="K5" s="931" t="s">
        <v>451</v>
      </c>
      <c r="L5" s="931"/>
      <c r="M5" s="930" t="s">
        <v>536</v>
      </c>
      <c r="N5" s="930" t="s">
        <v>600</v>
      </c>
      <c r="O5" s="930" t="s">
        <v>601</v>
      </c>
      <c r="P5" s="930" t="s">
        <v>602</v>
      </c>
      <c r="Q5" s="930" t="s">
        <v>604</v>
      </c>
      <c r="R5" s="930" t="s">
        <v>603</v>
      </c>
      <c r="S5" s="931" t="s">
        <v>537</v>
      </c>
      <c r="T5" s="929"/>
      <c r="U5" s="930" t="s">
        <v>600</v>
      </c>
      <c r="V5" s="930" t="s">
        <v>601</v>
      </c>
      <c r="W5" s="930" t="s">
        <v>602</v>
      </c>
      <c r="X5" s="930" t="s">
        <v>604</v>
      </c>
      <c r="Y5" s="930" t="s">
        <v>603</v>
      </c>
      <c r="Z5" s="931" t="s">
        <v>537</v>
      </c>
      <c r="AA5" s="929"/>
      <c r="AB5" s="930" t="s">
        <v>600</v>
      </c>
      <c r="AC5" s="930" t="s">
        <v>601</v>
      </c>
      <c r="AD5" s="930" t="s">
        <v>602</v>
      </c>
      <c r="AE5" s="930" t="s">
        <v>604</v>
      </c>
      <c r="AF5" s="930" t="s">
        <v>603</v>
      </c>
      <c r="AG5" s="931" t="s">
        <v>537</v>
      </c>
      <c r="AH5" s="929"/>
      <c r="AI5" s="929"/>
      <c r="AJ5" s="978"/>
    </row>
    <row r="6" spans="1:36" ht="47.25" customHeight="1" thickBot="1">
      <c r="A6" s="932"/>
      <c r="B6" s="932"/>
      <c r="C6" s="933"/>
      <c r="D6" s="933"/>
      <c r="E6" s="934"/>
      <c r="F6" s="394" t="s">
        <v>47</v>
      </c>
      <c r="G6" s="394" t="s">
        <v>48</v>
      </c>
      <c r="H6" s="668" t="s">
        <v>141</v>
      </c>
      <c r="I6" s="395" t="s">
        <v>277</v>
      </c>
      <c r="J6" s="931"/>
      <c r="K6" s="931"/>
      <c r="L6" s="931"/>
      <c r="M6" s="930"/>
      <c r="N6" s="930"/>
      <c r="O6" s="930"/>
      <c r="P6" s="930"/>
      <c r="Q6" s="930"/>
      <c r="R6" s="930"/>
      <c r="S6" s="931"/>
      <c r="T6" s="874"/>
      <c r="U6" s="930"/>
      <c r="V6" s="930"/>
      <c r="W6" s="930"/>
      <c r="X6" s="930"/>
      <c r="Y6" s="930"/>
      <c r="Z6" s="931"/>
      <c r="AA6" s="874"/>
      <c r="AB6" s="930"/>
      <c r="AC6" s="930"/>
      <c r="AD6" s="930"/>
      <c r="AE6" s="930"/>
      <c r="AF6" s="930"/>
      <c r="AG6" s="931"/>
      <c r="AH6" s="874"/>
      <c r="AI6" s="874"/>
      <c r="AJ6" s="926"/>
    </row>
    <row r="7" spans="1:36" ht="24.75" customHeight="1">
      <c r="A7" s="396"/>
      <c r="B7" s="396"/>
      <c r="C7" s="396"/>
      <c r="D7" s="396"/>
      <c r="E7" s="396"/>
      <c r="F7" s="397"/>
      <c r="G7" s="398"/>
      <c r="H7" s="399"/>
      <c r="I7" s="400"/>
      <c r="J7" s="401"/>
      <c r="K7" s="402"/>
      <c r="L7" s="401"/>
      <c r="M7" s="401"/>
      <c r="N7" s="401"/>
      <c r="O7" s="401"/>
      <c r="P7" s="401"/>
      <c r="Q7" s="401"/>
      <c r="R7" s="401"/>
      <c r="S7" s="401"/>
      <c r="T7" s="401"/>
      <c r="U7" s="401"/>
      <c r="V7" s="401"/>
      <c r="W7" s="401"/>
      <c r="X7" s="401"/>
      <c r="Y7" s="401"/>
      <c r="Z7" s="401"/>
      <c r="AA7" s="401"/>
      <c r="AB7" s="401"/>
      <c r="AC7" s="401"/>
      <c r="AD7" s="401"/>
      <c r="AE7" s="401"/>
      <c r="AF7" s="401"/>
      <c r="AG7" s="401"/>
      <c r="AH7" s="401"/>
      <c r="AI7" s="401"/>
      <c r="AJ7" s="762"/>
    </row>
    <row r="8" spans="1:36" ht="17.5">
      <c r="A8" s="404"/>
      <c r="B8" s="404"/>
      <c r="C8" s="405"/>
      <c r="D8" s="406"/>
      <c r="E8" s="405"/>
      <c r="F8" s="946" t="s">
        <v>34</v>
      </c>
      <c r="G8" s="947"/>
      <c r="H8" s="947"/>
      <c r="I8" s="948"/>
      <c r="J8" s="407"/>
      <c r="K8" s="408"/>
      <c r="L8" s="409"/>
      <c r="M8" s="409"/>
      <c r="N8" s="409"/>
      <c r="O8" s="409"/>
      <c r="P8" s="409"/>
      <c r="Q8" s="409"/>
      <c r="R8" s="409"/>
      <c r="S8" s="409"/>
      <c r="T8" s="409"/>
      <c r="U8" s="409"/>
      <c r="V8" s="409"/>
      <c r="W8" s="409"/>
      <c r="X8" s="409"/>
      <c r="Y8" s="409"/>
      <c r="Z8" s="409"/>
      <c r="AA8" s="409"/>
      <c r="AB8" s="409"/>
      <c r="AC8" s="409"/>
      <c r="AD8" s="409"/>
      <c r="AE8" s="409"/>
      <c r="AF8" s="409"/>
      <c r="AG8" s="409"/>
      <c r="AH8" s="409"/>
      <c r="AI8" s="409"/>
      <c r="AJ8" s="763"/>
    </row>
    <row r="9" spans="1:36" ht="16" customHeight="1">
      <c r="A9" s="410"/>
      <c r="B9" s="410"/>
      <c r="C9" s="411"/>
      <c r="D9" s="411"/>
      <c r="E9" s="411"/>
      <c r="F9" s="412"/>
      <c r="G9" s="36"/>
      <c r="H9" s="162"/>
      <c r="I9" s="162"/>
      <c r="J9" s="128"/>
      <c r="K9" s="208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764"/>
    </row>
    <row r="10" spans="1:36" ht="12.5" customHeight="1">
      <c r="A10" s="410">
        <v>1</v>
      </c>
      <c r="B10" s="410"/>
      <c r="C10" s="411"/>
      <c r="D10" s="411"/>
      <c r="E10" s="411"/>
      <c r="F10" s="36" t="s">
        <v>122</v>
      </c>
      <c r="G10" s="36"/>
      <c r="H10" s="162"/>
      <c r="I10" s="162"/>
      <c r="J10" s="407"/>
      <c r="K10" s="408"/>
      <c r="L10" s="409"/>
      <c r="M10" s="409"/>
      <c r="N10" s="409"/>
      <c r="O10" s="409"/>
      <c r="P10" s="409"/>
      <c r="Q10" s="409"/>
      <c r="R10" s="409"/>
      <c r="S10" s="409"/>
      <c r="T10" s="409"/>
      <c r="U10" s="409"/>
      <c r="V10" s="409"/>
      <c r="W10" s="409"/>
      <c r="X10" s="409"/>
      <c r="Y10" s="409"/>
      <c r="Z10" s="409"/>
      <c r="AA10" s="409"/>
      <c r="AB10" s="409"/>
      <c r="AC10" s="409"/>
      <c r="AD10" s="409"/>
      <c r="AE10" s="409"/>
      <c r="AF10" s="409"/>
      <c r="AG10" s="409"/>
      <c r="AH10" s="409"/>
      <c r="AI10" s="409"/>
      <c r="AJ10" s="763"/>
    </row>
    <row r="11" spans="1:36" ht="12.5" customHeight="1">
      <c r="A11" s="410"/>
      <c r="B11" s="410"/>
      <c r="C11" s="411">
        <v>1</v>
      </c>
      <c r="D11" s="411"/>
      <c r="E11" s="411"/>
      <c r="F11" s="412"/>
      <c r="G11" s="36"/>
      <c r="H11" s="162" t="s">
        <v>35</v>
      </c>
      <c r="I11" s="162"/>
      <c r="J11" s="128"/>
      <c r="K11" s="208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764"/>
    </row>
    <row r="12" spans="1:36" ht="12.5" customHeight="1">
      <c r="A12" s="410"/>
      <c r="B12" s="410"/>
      <c r="C12" s="411"/>
      <c r="D12" s="411">
        <v>1</v>
      </c>
      <c r="E12" s="411" t="s">
        <v>199</v>
      </c>
      <c r="F12" s="412"/>
      <c r="G12" s="36"/>
      <c r="H12" s="162"/>
      <c r="I12" s="162" t="s">
        <v>180</v>
      </c>
      <c r="J12" s="128">
        <v>108541984</v>
      </c>
      <c r="K12" s="208"/>
      <c r="L12" s="217">
        <f>SUM(J12:K12)</f>
        <v>108541984</v>
      </c>
      <c r="M12" s="217">
        <v>2463927</v>
      </c>
      <c r="N12" s="217"/>
      <c r="O12" s="217"/>
      <c r="P12" s="217"/>
      <c r="Q12" s="217">
        <v>4752743</v>
      </c>
      <c r="R12" s="217">
        <v>11353144</v>
      </c>
      <c r="S12" s="217">
        <f>SUM(M12:R12)</f>
        <v>18569814</v>
      </c>
      <c r="T12" s="217">
        <f>S12+L12</f>
        <v>127111798</v>
      </c>
      <c r="U12" s="217"/>
      <c r="V12" s="217"/>
      <c r="W12" s="217"/>
      <c r="X12" s="217">
        <v>2101919</v>
      </c>
      <c r="Y12" s="217">
        <v>29915034</v>
      </c>
      <c r="Z12" s="217">
        <f>SUM(U12:Y12)</f>
        <v>32016953</v>
      </c>
      <c r="AA12" s="217">
        <f>Z12+T12</f>
        <v>159128751</v>
      </c>
      <c r="AB12" s="217"/>
      <c r="AC12" s="217">
        <f>-4440064</f>
        <v>-4440064</v>
      </c>
      <c r="AD12" s="217"/>
      <c r="AE12" s="217">
        <f>1754815+32900+90000</f>
        <v>1877715</v>
      </c>
      <c r="AF12" s="217">
        <f>81530+81530+81530</f>
        <v>244590</v>
      </c>
      <c r="AG12" s="217">
        <f>SUM(AB12:AF12)</f>
        <v>-2317759</v>
      </c>
      <c r="AH12" s="217">
        <f>AG12+AA12</f>
        <v>156810992</v>
      </c>
      <c r="AI12" s="217">
        <v>108039789</v>
      </c>
      <c r="AJ12" s="764">
        <f>AI12/AH12*100</f>
        <v>68.898096760971967</v>
      </c>
    </row>
    <row r="13" spans="1:36" ht="12.5" customHeight="1">
      <c r="A13" s="410"/>
      <c r="B13" s="410"/>
      <c r="C13" s="411"/>
      <c r="D13" s="411">
        <v>2</v>
      </c>
      <c r="E13" s="411" t="s">
        <v>199</v>
      </c>
      <c r="F13" s="412"/>
      <c r="G13" s="36"/>
      <c r="H13" s="162"/>
      <c r="I13" s="162" t="s">
        <v>182</v>
      </c>
      <c r="J13" s="128">
        <v>23673647</v>
      </c>
      <c r="K13" s="208"/>
      <c r="L13" s="217">
        <f>SUM(J13:K13)</f>
        <v>23673647</v>
      </c>
      <c r="M13" s="217">
        <v>1714064</v>
      </c>
      <c r="N13" s="217"/>
      <c r="O13" s="217"/>
      <c r="P13" s="217"/>
      <c r="Q13" s="217">
        <v>947727</v>
      </c>
      <c r="R13" s="217">
        <v>2801995</v>
      </c>
      <c r="S13" s="217">
        <f t="shared" ref="S13:S16" si="0">SUM(M13:R13)</f>
        <v>5463786</v>
      </c>
      <c r="T13" s="217">
        <f t="shared" ref="T13:T16" si="1">S13+L13</f>
        <v>29137433</v>
      </c>
      <c r="U13" s="217"/>
      <c r="V13" s="217"/>
      <c r="W13" s="217"/>
      <c r="X13" s="217">
        <v>409875</v>
      </c>
      <c r="Y13" s="217">
        <v>5765428</v>
      </c>
      <c r="Z13" s="217">
        <f>SUM(U13:Y13)</f>
        <v>6175303</v>
      </c>
      <c r="AA13" s="217">
        <f>Z13+T13</f>
        <v>35312736</v>
      </c>
      <c r="AB13" s="217"/>
      <c r="AC13" s="217">
        <v>-1329068</v>
      </c>
      <c r="AD13" s="217"/>
      <c r="AE13" s="217">
        <f>342189+6415+17550</f>
        <v>366154</v>
      </c>
      <c r="AF13" s="217">
        <f>7949+7949+7949</f>
        <v>23847</v>
      </c>
      <c r="AG13" s="217">
        <f t="shared" ref="AG13:AG16" si="2">SUM(AB13:AF13)</f>
        <v>-939067</v>
      </c>
      <c r="AH13" s="217">
        <f t="shared" ref="AH13:AH16" si="3">AG13+AA13</f>
        <v>34373669</v>
      </c>
      <c r="AI13" s="217">
        <v>23425229</v>
      </c>
      <c r="AJ13" s="764">
        <f t="shared" ref="AJ13:AJ16" si="4">AI13/AH13*100</f>
        <v>68.148759447238533</v>
      </c>
    </row>
    <row r="14" spans="1:36" ht="12.5" customHeight="1">
      <c r="A14" s="410"/>
      <c r="B14" s="410"/>
      <c r="C14" s="411"/>
      <c r="D14" s="411">
        <v>3</v>
      </c>
      <c r="E14" s="411" t="s">
        <v>199</v>
      </c>
      <c r="F14" s="412"/>
      <c r="G14" s="36"/>
      <c r="H14" s="162"/>
      <c r="I14" s="162" t="s">
        <v>116</v>
      </c>
      <c r="J14" s="128">
        <v>119510512</v>
      </c>
      <c r="K14" s="208"/>
      <c r="L14" s="217">
        <f>SUM(J14:K14)</f>
        <v>119510512</v>
      </c>
      <c r="M14" s="217">
        <v>10375872</v>
      </c>
      <c r="N14" s="217"/>
      <c r="O14" s="217">
        <v>-4000000</v>
      </c>
      <c r="P14" s="217"/>
      <c r="Q14" s="217"/>
      <c r="R14" s="217">
        <v>18277970</v>
      </c>
      <c r="S14" s="217">
        <f t="shared" si="0"/>
        <v>24653842</v>
      </c>
      <c r="T14" s="217">
        <f t="shared" si="1"/>
        <v>144164354</v>
      </c>
      <c r="U14" s="217"/>
      <c r="V14" s="217"/>
      <c r="W14" s="217"/>
      <c r="X14" s="217"/>
      <c r="Y14" s="217">
        <v>46304918</v>
      </c>
      <c r="Z14" s="217">
        <f>SUM(U14:Y14)</f>
        <v>46304918</v>
      </c>
      <c r="AA14" s="217">
        <f>Z14+T14</f>
        <v>190469272</v>
      </c>
      <c r="AB14" s="217"/>
      <c r="AC14" s="217">
        <f>3263524-4830223</f>
        <v>-1566699</v>
      </c>
      <c r="AD14" s="217"/>
      <c r="AE14" s="217">
        <v>80000</v>
      </c>
      <c r="AF14" s="217">
        <f>600000+5600000</f>
        <v>6200000</v>
      </c>
      <c r="AG14" s="217">
        <f t="shared" si="2"/>
        <v>4713301</v>
      </c>
      <c r="AH14" s="217">
        <f t="shared" si="3"/>
        <v>195182573</v>
      </c>
      <c r="AI14" s="217">
        <v>122310889</v>
      </c>
      <c r="AJ14" s="764">
        <f t="shared" si="4"/>
        <v>62.664861478181258</v>
      </c>
    </row>
    <row r="15" spans="1:36" ht="12.5" customHeight="1">
      <c r="A15" s="410"/>
      <c r="B15" s="410"/>
      <c r="C15" s="411">
        <v>2</v>
      </c>
      <c r="D15" s="411"/>
      <c r="E15" s="411"/>
      <c r="F15" s="412"/>
      <c r="G15" s="36"/>
      <c r="H15" s="162" t="s">
        <v>211</v>
      </c>
      <c r="I15" s="162"/>
      <c r="J15" s="128"/>
      <c r="K15" s="208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7"/>
      <c r="AE15" s="217"/>
      <c r="AF15" s="217"/>
      <c r="AG15" s="217"/>
      <c r="AH15" s="217"/>
      <c r="AI15" s="217"/>
      <c r="AJ15" s="764"/>
    </row>
    <row r="16" spans="1:36" ht="12.5" customHeight="1">
      <c r="A16" s="410"/>
      <c r="B16" s="410"/>
      <c r="C16" s="411"/>
      <c r="D16" s="411">
        <v>6</v>
      </c>
      <c r="E16" s="411" t="s">
        <v>199</v>
      </c>
      <c r="F16" s="412"/>
      <c r="G16" s="36"/>
      <c r="H16" s="162"/>
      <c r="I16" s="162" t="s">
        <v>213</v>
      </c>
      <c r="J16" s="128"/>
      <c r="K16" s="208">
        <v>3537000</v>
      </c>
      <c r="L16" s="217">
        <f>SUM(J16:K16)</f>
        <v>3537000</v>
      </c>
      <c r="M16" s="217">
        <v>1728890</v>
      </c>
      <c r="N16" s="217"/>
      <c r="O16" s="217">
        <v>4000000</v>
      </c>
      <c r="P16" s="217"/>
      <c r="Q16" s="217"/>
      <c r="R16" s="217">
        <v>610190</v>
      </c>
      <c r="S16" s="217">
        <f t="shared" si="0"/>
        <v>6339080</v>
      </c>
      <c r="T16" s="217">
        <f t="shared" si="1"/>
        <v>9876080</v>
      </c>
      <c r="U16" s="217">
        <v>239000</v>
      </c>
      <c r="V16" s="217"/>
      <c r="W16" s="217"/>
      <c r="X16" s="217"/>
      <c r="Y16" s="217"/>
      <c r="Z16" s="217">
        <f>SUM(U16:Y16)</f>
        <v>239000</v>
      </c>
      <c r="AA16" s="217">
        <f>Z16+T16</f>
        <v>10115080</v>
      </c>
      <c r="AB16" s="217"/>
      <c r="AC16" s="217">
        <v>10599355</v>
      </c>
      <c r="AD16" s="217"/>
      <c r="AE16" s="217"/>
      <c r="AF16" s="217"/>
      <c r="AG16" s="217">
        <f t="shared" si="2"/>
        <v>10599355</v>
      </c>
      <c r="AH16" s="217">
        <f t="shared" si="3"/>
        <v>20714435</v>
      </c>
      <c r="AI16" s="217">
        <v>9227311</v>
      </c>
      <c r="AJ16" s="764">
        <f t="shared" si="4"/>
        <v>44.545318276844142</v>
      </c>
    </row>
    <row r="17" spans="1:36" ht="12.5" customHeight="1">
      <c r="A17" s="410"/>
      <c r="B17" s="410"/>
      <c r="C17" s="411"/>
      <c r="D17" s="411"/>
      <c r="E17" s="411"/>
      <c r="F17" s="412"/>
      <c r="G17" s="36"/>
      <c r="H17" s="162"/>
      <c r="I17" s="162"/>
      <c r="J17" s="128"/>
      <c r="K17" s="208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764"/>
    </row>
    <row r="18" spans="1:36" ht="12.5" customHeight="1">
      <c r="A18" s="410"/>
      <c r="B18" s="410"/>
      <c r="C18" s="411"/>
      <c r="D18" s="411"/>
      <c r="E18" s="411"/>
      <c r="F18" s="413" t="s">
        <v>37</v>
      </c>
      <c r="G18" s="413"/>
      <c r="H18" s="414"/>
      <c r="I18" s="413"/>
      <c r="J18" s="415">
        <f>SUM(J12:J17)</f>
        <v>251726143</v>
      </c>
      <c r="K18" s="416">
        <f>SUM(K12:K17)</f>
        <v>3537000</v>
      </c>
      <c r="L18" s="415">
        <f>SUM(L12:L17)</f>
        <v>255263143</v>
      </c>
      <c r="M18" s="415">
        <f>SUM(M12:M17)</f>
        <v>16282753</v>
      </c>
      <c r="N18" s="415"/>
      <c r="O18" s="415">
        <f t="shared" ref="O18:S18" si="5">SUM(O12:O16)</f>
        <v>0</v>
      </c>
      <c r="P18" s="415">
        <f t="shared" si="5"/>
        <v>0</v>
      </c>
      <c r="Q18" s="415">
        <f t="shared" si="5"/>
        <v>5700470</v>
      </c>
      <c r="R18" s="415">
        <f t="shared" si="5"/>
        <v>33043299</v>
      </c>
      <c r="S18" s="415">
        <f t="shared" si="5"/>
        <v>55026522</v>
      </c>
      <c r="T18" s="415">
        <f>SUM(T12:T16)</f>
        <v>310289665</v>
      </c>
      <c r="U18" s="415">
        <f t="shared" ref="U18" si="6">SUM(U12:U16)</f>
        <v>239000</v>
      </c>
      <c r="V18" s="415"/>
      <c r="W18" s="415"/>
      <c r="X18" s="415">
        <f t="shared" ref="X18:Z18" si="7">SUM(X12:X16)</f>
        <v>2511794</v>
      </c>
      <c r="Y18" s="415">
        <f t="shared" si="7"/>
        <v>81985380</v>
      </c>
      <c r="Z18" s="415">
        <f t="shared" si="7"/>
        <v>84736174</v>
      </c>
      <c r="AA18" s="415">
        <f>SUM(AA12:AA16)</f>
        <v>395025839</v>
      </c>
      <c r="AB18" s="415">
        <f t="shared" ref="AB18:AI18" si="8">SUM(AB12:AB16)</f>
        <v>0</v>
      </c>
      <c r="AC18" s="415">
        <f t="shared" si="8"/>
        <v>3263524</v>
      </c>
      <c r="AD18" s="415">
        <f t="shared" si="8"/>
        <v>0</v>
      </c>
      <c r="AE18" s="415">
        <f t="shared" si="8"/>
        <v>2323869</v>
      </c>
      <c r="AF18" s="415">
        <f t="shared" si="8"/>
        <v>6468437</v>
      </c>
      <c r="AG18" s="415">
        <f t="shared" si="8"/>
        <v>12055830</v>
      </c>
      <c r="AH18" s="415">
        <f t="shared" si="8"/>
        <v>407081669</v>
      </c>
      <c r="AI18" s="415">
        <f t="shared" si="8"/>
        <v>263003218</v>
      </c>
      <c r="AJ18" s="765">
        <f>AI18/AH18*100</f>
        <v>64.6069911833834</v>
      </c>
    </row>
    <row r="19" spans="1:36" ht="12.5" customHeight="1">
      <c r="A19" s="410"/>
      <c r="B19" s="410"/>
      <c r="C19" s="411"/>
      <c r="D19" s="411"/>
      <c r="E19" s="411"/>
      <c r="F19" s="417"/>
      <c r="G19" s="417"/>
      <c r="H19" s="418"/>
      <c r="I19" s="417"/>
      <c r="J19" s="419"/>
      <c r="K19" s="420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  <c r="AC19" s="421"/>
      <c r="AD19" s="421"/>
      <c r="AE19" s="421"/>
      <c r="AF19" s="421"/>
      <c r="AG19" s="421"/>
      <c r="AH19" s="421"/>
      <c r="AI19" s="421"/>
      <c r="AJ19" s="766"/>
    </row>
    <row r="20" spans="1:36" ht="12.5" customHeight="1">
      <c r="A20" s="410">
        <v>2</v>
      </c>
      <c r="B20" s="410"/>
      <c r="C20" s="411"/>
      <c r="D20" s="411"/>
      <c r="E20" s="411"/>
      <c r="F20" s="36" t="s">
        <v>77</v>
      </c>
      <c r="H20" s="162"/>
      <c r="I20" s="162"/>
      <c r="J20" s="128"/>
      <c r="K20" s="208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764"/>
    </row>
    <row r="21" spans="1:36" ht="12.5" customHeight="1">
      <c r="A21" s="410"/>
      <c r="B21" s="410"/>
      <c r="C21" s="411">
        <v>1</v>
      </c>
      <c r="D21" s="411"/>
      <c r="E21" s="411"/>
      <c r="F21" s="412"/>
      <c r="G21" s="36"/>
      <c r="H21" s="162" t="s">
        <v>35</v>
      </c>
      <c r="I21" s="162"/>
      <c r="J21" s="128"/>
      <c r="K21" s="208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764"/>
    </row>
    <row r="22" spans="1:36" ht="12.5" customHeight="1">
      <c r="A22" s="410"/>
      <c r="B22" s="410"/>
      <c r="C22" s="411"/>
      <c r="D22" s="411">
        <v>1</v>
      </c>
      <c r="E22" s="411" t="s">
        <v>199</v>
      </c>
      <c r="F22" s="412"/>
      <c r="G22" s="36"/>
      <c r="H22" s="162"/>
      <c r="I22" s="162" t="s">
        <v>180</v>
      </c>
      <c r="J22" s="128">
        <v>69864118</v>
      </c>
      <c r="K22" s="208"/>
      <c r="L22" s="217">
        <f t="shared" ref="L22:L27" si="9">SUM(J22:K22)</f>
        <v>69864118</v>
      </c>
      <c r="M22" s="217">
        <v>9217778</v>
      </c>
      <c r="N22" s="217"/>
      <c r="O22" s="217"/>
      <c r="P22" s="217"/>
      <c r="Q22" s="217">
        <v>299600</v>
      </c>
      <c r="R22" s="217">
        <v>697094</v>
      </c>
      <c r="S22" s="217">
        <f t="shared" ref="S22:S27" si="10">SUM(M22:R22)</f>
        <v>10214472</v>
      </c>
      <c r="T22" s="217">
        <f t="shared" ref="T22:T27" si="11">S22+L22</f>
        <v>80078590</v>
      </c>
      <c r="U22" s="217"/>
      <c r="V22" s="217"/>
      <c r="W22" s="217"/>
      <c r="X22" s="217">
        <v>141600</v>
      </c>
      <c r="Y22" s="217">
        <v>2709350</v>
      </c>
      <c r="Z22" s="217">
        <f t="shared" ref="Z22:Z27" si="12">SUM(U22:Y22)</f>
        <v>2850950</v>
      </c>
      <c r="AA22" s="217">
        <f>Z22+T22</f>
        <v>82929540</v>
      </c>
      <c r="AB22" s="217"/>
      <c r="AC22" s="217">
        <v>630000</v>
      </c>
      <c r="AD22" s="217"/>
      <c r="AE22" s="217">
        <f>141600+350000</f>
        <v>491600</v>
      </c>
      <c r="AF22" s="217">
        <f>1244590+244589+244590</f>
        <v>1733769</v>
      </c>
      <c r="AG22" s="217">
        <f t="shared" ref="AG22:AG27" si="13">SUM(AB22:AF22)</f>
        <v>2855369</v>
      </c>
      <c r="AH22" s="217">
        <f t="shared" ref="AH22:AH27" si="14">AG22+AA22</f>
        <v>85784909</v>
      </c>
      <c r="AI22" s="217">
        <v>79511168</v>
      </c>
      <c r="AJ22" s="764">
        <f t="shared" ref="AJ22:AJ26" si="15">AI22/AH22*100</f>
        <v>92.686661240148894</v>
      </c>
    </row>
    <row r="23" spans="1:36" ht="12.5" customHeight="1">
      <c r="A23" s="410"/>
      <c r="B23" s="410"/>
      <c r="C23" s="411"/>
      <c r="D23" s="411">
        <v>2</v>
      </c>
      <c r="E23" s="411" t="s">
        <v>199</v>
      </c>
      <c r="F23" s="412"/>
      <c r="G23" s="36"/>
      <c r="H23" s="162"/>
      <c r="I23" s="162" t="s">
        <v>182</v>
      </c>
      <c r="J23" s="128">
        <v>12743967</v>
      </c>
      <c r="K23" s="208"/>
      <c r="L23" s="217">
        <f t="shared" si="9"/>
        <v>12743967</v>
      </c>
      <c r="M23" s="217">
        <v>2684864</v>
      </c>
      <c r="N23" s="217"/>
      <c r="O23" s="217"/>
      <c r="P23" s="217"/>
      <c r="Q23" s="217">
        <v>60012</v>
      </c>
      <c r="R23" s="217">
        <v>67966</v>
      </c>
      <c r="S23" s="217">
        <f t="shared" si="10"/>
        <v>2812842</v>
      </c>
      <c r="T23" s="217">
        <f t="shared" si="11"/>
        <v>15556809</v>
      </c>
      <c r="U23" s="217"/>
      <c r="V23" s="217"/>
      <c r="W23" s="217"/>
      <c r="X23" s="217">
        <v>27612</v>
      </c>
      <c r="Y23" s="217">
        <v>407960</v>
      </c>
      <c r="Z23" s="217">
        <f t="shared" si="12"/>
        <v>435572</v>
      </c>
      <c r="AA23" s="217">
        <f>Z23+T23</f>
        <v>15992381</v>
      </c>
      <c r="AB23" s="217"/>
      <c r="AC23" s="217">
        <v>122850</v>
      </c>
      <c r="AD23" s="217"/>
      <c r="AE23" s="217">
        <f>27612+68250</f>
        <v>95862</v>
      </c>
      <c r="AF23" s="217">
        <f>1745698+23847+23847</f>
        <v>1793392</v>
      </c>
      <c r="AG23" s="217">
        <f t="shared" si="13"/>
        <v>2012104</v>
      </c>
      <c r="AH23" s="217">
        <f t="shared" si="14"/>
        <v>18004485</v>
      </c>
      <c r="AI23" s="217">
        <v>15427059</v>
      </c>
      <c r="AJ23" s="764">
        <f t="shared" si="15"/>
        <v>85.684533603710406</v>
      </c>
    </row>
    <row r="24" spans="1:36" ht="12.5" customHeight="1">
      <c r="A24" s="410"/>
      <c r="B24" s="410"/>
      <c r="C24" s="411"/>
      <c r="D24" s="411">
        <v>3</v>
      </c>
      <c r="E24" s="411" t="s">
        <v>199</v>
      </c>
      <c r="F24" s="412"/>
      <c r="G24" s="36"/>
      <c r="H24" s="162"/>
      <c r="I24" s="162" t="s">
        <v>116</v>
      </c>
      <c r="J24" s="128">
        <v>149489611</v>
      </c>
      <c r="K24" s="208"/>
      <c r="L24" s="217">
        <f t="shared" si="9"/>
        <v>149489611</v>
      </c>
      <c r="M24" s="217">
        <v>6599779</v>
      </c>
      <c r="N24" s="217"/>
      <c r="O24" s="217"/>
      <c r="P24" s="217"/>
      <c r="Q24" s="217"/>
      <c r="R24" s="217">
        <v>4600000</v>
      </c>
      <c r="S24" s="217">
        <f t="shared" si="10"/>
        <v>11199779</v>
      </c>
      <c r="T24" s="217">
        <f t="shared" si="11"/>
        <v>160689390</v>
      </c>
      <c r="U24" s="217"/>
      <c r="V24" s="217"/>
      <c r="W24" s="217"/>
      <c r="X24" s="217"/>
      <c r="Y24" s="217">
        <v>3786000</v>
      </c>
      <c r="Z24" s="217">
        <f t="shared" si="12"/>
        <v>3786000</v>
      </c>
      <c r="AA24" s="217">
        <f>Z24+T24</f>
        <v>164475390</v>
      </c>
      <c r="AB24" s="217"/>
      <c r="AC24" s="217">
        <f>10000000+1738474</f>
        <v>11738474</v>
      </c>
      <c r="AD24" s="217"/>
      <c r="AE24" s="217"/>
      <c r="AF24" s="217">
        <f>350000+6881971</f>
        <v>7231971</v>
      </c>
      <c r="AG24" s="217">
        <f t="shared" si="13"/>
        <v>18970445</v>
      </c>
      <c r="AH24" s="217">
        <f t="shared" si="14"/>
        <v>183445835</v>
      </c>
      <c r="AI24" s="217">
        <v>169983352</v>
      </c>
      <c r="AJ24" s="764">
        <f t="shared" si="15"/>
        <v>92.661330795545183</v>
      </c>
    </row>
    <row r="25" spans="1:36" ht="12.5" customHeight="1">
      <c r="A25" s="410"/>
      <c r="B25" s="410"/>
      <c r="C25" s="411">
        <v>2</v>
      </c>
      <c r="D25" s="411"/>
      <c r="E25" s="411"/>
      <c r="F25" s="412"/>
      <c r="G25" s="36"/>
      <c r="H25" s="162" t="s">
        <v>211</v>
      </c>
      <c r="I25" s="162"/>
      <c r="J25" s="128"/>
      <c r="K25" s="208"/>
      <c r="L25" s="217"/>
      <c r="M25" s="217"/>
      <c r="N25" s="217"/>
      <c r="O25" s="217"/>
      <c r="P25" s="217"/>
      <c r="Q25" s="217"/>
      <c r="R25" s="217"/>
      <c r="S25" s="217">
        <f t="shared" si="10"/>
        <v>0</v>
      </c>
      <c r="T25" s="217"/>
      <c r="U25" s="217"/>
      <c r="V25" s="217"/>
      <c r="W25" s="217"/>
      <c r="X25" s="217"/>
      <c r="Y25" s="217"/>
      <c r="Z25" s="217"/>
      <c r="AA25" s="217"/>
      <c r="AB25" s="217"/>
      <c r="AC25" s="217"/>
      <c r="AD25" s="217"/>
      <c r="AE25" s="217"/>
      <c r="AF25" s="217"/>
      <c r="AG25" s="217"/>
      <c r="AH25" s="217"/>
      <c r="AI25" s="217"/>
      <c r="AJ25" s="764"/>
    </row>
    <row r="26" spans="1:36" ht="12.5" customHeight="1">
      <c r="A26" s="410"/>
      <c r="B26" s="410"/>
      <c r="C26" s="411"/>
      <c r="D26" s="411">
        <v>6</v>
      </c>
      <c r="E26" s="411" t="s">
        <v>199</v>
      </c>
      <c r="F26" s="412"/>
      <c r="G26" s="36"/>
      <c r="H26" s="162"/>
      <c r="I26" s="162" t="s">
        <v>213</v>
      </c>
      <c r="J26" s="128"/>
      <c r="K26" s="208">
        <v>35000000</v>
      </c>
      <c r="L26" s="217">
        <f t="shared" si="9"/>
        <v>35000000</v>
      </c>
      <c r="M26" s="217">
        <v>601294</v>
      </c>
      <c r="N26" s="217"/>
      <c r="O26" s="217"/>
      <c r="P26" s="217"/>
      <c r="Q26" s="217"/>
      <c r="R26" s="217">
        <v>563959</v>
      </c>
      <c r="S26" s="217">
        <f t="shared" si="10"/>
        <v>1165253</v>
      </c>
      <c r="T26" s="217">
        <f t="shared" si="11"/>
        <v>36165253</v>
      </c>
      <c r="U26" s="217"/>
      <c r="V26" s="217"/>
      <c r="W26" s="217"/>
      <c r="X26" s="217"/>
      <c r="Y26" s="217">
        <v>1559396</v>
      </c>
      <c r="Z26" s="217">
        <f t="shared" si="12"/>
        <v>1559396</v>
      </c>
      <c r="AA26" s="217">
        <f>Z26+T26</f>
        <v>37724649</v>
      </c>
      <c r="AB26" s="217"/>
      <c r="AC26" s="217">
        <f>-1400000-10000000</f>
        <v>-11400000</v>
      </c>
      <c r="AD26" s="217"/>
      <c r="AE26" s="217"/>
      <c r="AF26" s="217"/>
      <c r="AG26" s="217">
        <f t="shared" si="13"/>
        <v>-11400000</v>
      </c>
      <c r="AH26" s="217">
        <f t="shared" si="14"/>
        <v>26324649</v>
      </c>
      <c r="AI26" s="217">
        <v>16296600</v>
      </c>
      <c r="AJ26" s="764">
        <f t="shared" si="15"/>
        <v>61.906238521926724</v>
      </c>
    </row>
    <row r="27" spans="1:36" ht="12.5" customHeight="1">
      <c r="A27" s="410"/>
      <c r="B27" s="410"/>
      <c r="C27" s="411"/>
      <c r="D27" s="411">
        <v>7</v>
      </c>
      <c r="E27" s="411" t="s">
        <v>199</v>
      </c>
      <c r="F27" s="412"/>
      <c r="G27" s="36"/>
      <c r="H27" s="162"/>
      <c r="I27" s="162" t="s">
        <v>214</v>
      </c>
      <c r="J27" s="128"/>
      <c r="K27" s="208">
        <v>179722606</v>
      </c>
      <c r="L27" s="217">
        <f t="shared" si="9"/>
        <v>179722606</v>
      </c>
      <c r="M27" s="217">
        <v>55062420</v>
      </c>
      <c r="N27" s="217"/>
      <c r="O27" s="217"/>
      <c r="P27" s="217"/>
      <c r="Q27" s="217"/>
      <c r="R27" s="217"/>
      <c r="S27" s="217">
        <f t="shared" si="10"/>
        <v>55062420</v>
      </c>
      <c r="T27" s="217">
        <f t="shared" si="11"/>
        <v>234785026</v>
      </c>
      <c r="U27" s="217"/>
      <c r="V27" s="217"/>
      <c r="W27" s="217"/>
      <c r="X27" s="217"/>
      <c r="Y27" s="217"/>
      <c r="Z27" s="217">
        <f t="shared" si="12"/>
        <v>0</v>
      </c>
      <c r="AA27" s="217">
        <f>Z27+T27</f>
        <v>234785026</v>
      </c>
      <c r="AB27" s="217"/>
      <c r="AC27" s="217">
        <v>1400000</v>
      </c>
      <c r="AD27" s="217"/>
      <c r="AE27" s="217"/>
      <c r="AF27" s="217"/>
      <c r="AG27" s="217">
        <f t="shared" si="13"/>
        <v>1400000</v>
      </c>
      <c r="AH27" s="217">
        <f t="shared" si="14"/>
        <v>236185026</v>
      </c>
      <c r="AI27" s="217">
        <v>231575069</v>
      </c>
      <c r="AJ27" s="764">
        <f t="shared" ref="AJ27" si="16">AI27/AH27*100</f>
        <v>98.048158649989944</v>
      </c>
    </row>
    <row r="28" spans="1:36" ht="5" customHeight="1">
      <c r="A28" s="410"/>
      <c r="B28" s="410"/>
      <c r="C28" s="411"/>
      <c r="D28" s="411"/>
      <c r="E28" s="411"/>
      <c r="F28" s="412"/>
      <c r="G28" s="36"/>
      <c r="H28" s="162"/>
      <c r="I28" s="162"/>
      <c r="J28" s="128"/>
      <c r="K28" s="208"/>
      <c r="L28" s="217"/>
      <c r="M28" s="217"/>
      <c r="N28" s="217"/>
      <c r="O28" s="217"/>
      <c r="P28" s="217"/>
      <c r="Q28" s="217"/>
      <c r="R28" s="217"/>
      <c r="S28" s="217"/>
      <c r="T28" s="217"/>
      <c r="U28" s="217"/>
      <c r="V28" s="217"/>
      <c r="W28" s="217"/>
      <c r="X28" s="217"/>
      <c r="Y28" s="217"/>
      <c r="Z28" s="217"/>
      <c r="AA28" s="217"/>
      <c r="AB28" s="217"/>
      <c r="AC28" s="217"/>
      <c r="AD28" s="217"/>
      <c r="AE28" s="217"/>
      <c r="AF28" s="217"/>
      <c r="AG28" s="217"/>
      <c r="AH28" s="217"/>
      <c r="AI28" s="217"/>
      <c r="AJ28" s="764"/>
    </row>
    <row r="29" spans="1:36" ht="12.5" customHeight="1">
      <c r="A29" s="410"/>
      <c r="B29" s="410"/>
      <c r="C29" s="411"/>
      <c r="D29" s="411"/>
      <c r="E29" s="411"/>
      <c r="F29" s="413" t="s">
        <v>37</v>
      </c>
      <c r="G29" s="413"/>
      <c r="H29" s="414"/>
      <c r="I29" s="413"/>
      <c r="J29" s="415">
        <f>SUM(J22:J27)</f>
        <v>232097696</v>
      </c>
      <c r="K29" s="416">
        <f>SUM(K22:K27)</f>
        <v>214722606</v>
      </c>
      <c r="L29" s="415">
        <f>SUM(L22:L27)</f>
        <v>446820302</v>
      </c>
      <c r="M29" s="415">
        <f>SUM(M22:M27)</f>
        <v>74166135</v>
      </c>
      <c r="N29" s="415"/>
      <c r="O29" s="415"/>
      <c r="P29" s="415">
        <f t="shared" ref="P29:S29" si="17">SUM(P22:P28)</f>
        <v>0</v>
      </c>
      <c r="Q29" s="415">
        <f t="shared" si="17"/>
        <v>359612</v>
      </c>
      <c r="R29" s="415">
        <f t="shared" si="17"/>
        <v>5929019</v>
      </c>
      <c r="S29" s="415">
        <f t="shared" si="17"/>
        <v>80454766</v>
      </c>
      <c r="T29" s="415">
        <f>SUM(T22:T28)</f>
        <v>527275068</v>
      </c>
      <c r="U29" s="415"/>
      <c r="V29" s="415"/>
      <c r="W29" s="415"/>
      <c r="X29" s="415">
        <f t="shared" ref="X29:Z29" si="18">SUM(X22:X28)</f>
        <v>169212</v>
      </c>
      <c r="Y29" s="415">
        <f t="shared" si="18"/>
        <v>8462706</v>
      </c>
      <c r="Z29" s="415">
        <f t="shared" si="18"/>
        <v>8631918</v>
      </c>
      <c r="AA29" s="415">
        <f>SUM(AA22:AA28)</f>
        <v>535906986</v>
      </c>
      <c r="AB29" s="415"/>
      <c r="AC29" s="415">
        <f t="shared" ref="AC29:AG29" si="19">SUM(AC22:AC28)</f>
        <v>2491324</v>
      </c>
      <c r="AD29" s="415"/>
      <c r="AE29" s="415">
        <f t="shared" si="19"/>
        <v>587462</v>
      </c>
      <c r="AF29" s="415">
        <f t="shared" si="19"/>
        <v>10759132</v>
      </c>
      <c r="AG29" s="415">
        <f t="shared" si="19"/>
        <v>13837918</v>
      </c>
      <c r="AH29" s="415">
        <f>SUM(AH22:AH28)</f>
        <v>549744904</v>
      </c>
      <c r="AI29" s="415">
        <f>SUM(AI22:AI28)</f>
        <v>512793248</v>
      </c>
      <c r="AJ29" s="765">
        <f>AI29/AH29*100</f>
        <v>93.278399539288856</v>
      </c>
    </row>
    <row r="30" spans="1:36" ht="12.5" customHeight="1">
      <c r="A30" s="410"/>
      <c r="B30" s="410"/>
      <c r="C30" s="411"/>
      <c r="D30" s="411"/>
      <c r="E30" s="411"/>
      <c r="F30" s="36"/>
      <c r="G30" s="36"/>
      <c r="H30" s="162"/>
      <c r="I30" s="162"/>
      <c r="J30" s="128"/>
      <c r="K30" s="208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764"/>
    </row>
    <row r="31" spans="1:36" ht="12.5" customHeight="1">
      <c r="A31" s="410">
        <v>3</v>
      </c>
      <c r="B31" s="410"/>
      <c r="C31" s="411"/>
      <c r="D31" s="411"/>
      <c r="E31" s="411"/>
      <c r="F31" s="36" t="s">
        <v>360</v>
      </c>
      <c r="H31" s="162"/>
      <c r="I31" s="162"/>
      <c r="J31" s="128"/>
      <c r="K31" s="208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764"/>
    </row>
    <row r="32" spans="1:36" ht="12.5" customHeight="1">
      <c r="A32" s="410"/>
      <c r="B32" s="410"/>
      <c r="C32" s="411">
        <v>1</v>
      </c>
      <c r="D32" s="411"/>
      <c r="E32" s="411"/>
      <c r="F32" s="412"/>
      <c r="G32" s="36"/>
      <c r="H32" s="162" t="s">
        <v>35</v>
      </c>
      <c r="I32" s="162"/>
      <c r="J32" s="128"/>
      <c r="K32" s="208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217"/>
      <c r="AA32" s="217"/>
      <c r="AB32" s="217"/>
      <c r="AC32" s="217"/>
      <c r="AD32" s="217"/>
      <c r="AE32" s="217"/>
      <c r="AF32" s="217"/>
      <c r="AG32" s="217"/>
      <c r="AH32" s="217"/>
      <c r="AI32" s="217"/>
      <c r="AJ32" s="764"/>
    </row>
    <row r="33" spans="1:36" ht="12.5" customHeight="1">
      <c r="A33" s="410"/>
      <c r="B33" s="410"/>
      <c r="C33" s="411"/>
      <c r="D33" s="411">
        <v>1</v>
      </c>
      <c r="E33" s="411" t="s">
        <v>199</v>
      </c>
      <c r="F33" s="412"/>
      <c r="G33" s="36"/>
      <c r="H33" s="162"/>
      <c r="I33" s="162" t="s">
        <v>180</v>
      </c>
      <c r="J33" s="128">
        <v>344728153</v>
      </c>
      <c r="K33" s="208"/>
      <c r="L33" s="217">
        <f t="shared" ref="L33:L40" si="20">SUM(J33:K33)</f>
        <v>344728153</v>
      </c>
      <c r="M33" s="217">
        <v>7609770</v>
      </c>
      <c r="N33" s="217"/>
      <c r="O33" s="217"/>
      <c r="P33" s="217"/>
      <c r="Q33" s="217">
        <v>33366214</v>
      </c>
      <c r="R33" s="217">
        <v>1635918</v>
      </c>
      <c r="S33" s="217">
        <f t="shared" ref="S33:S40" si="21">SUM(M33:R33)</f>
        <v>42611902</v>
      </c>
      <c r="T33" s="217">
        <f t="shared" ref="T33:T40" si="22">S33+L33</f>
        <v>387340055</v>
      </c>
      <c r="U33" s="217"/>
      <c r="V33" s="217"/>
      <c r="W33" s="217"/>
      <c r="X33" s="217">
        <v>14170951</v>
      </c>
      <c r="Y33" s="217">
        <v>24646159</v>
      </c>
      <c r="Z33" s="217">
        <f t="shared" ref="Z33:Z40" si="23">SUM(U33:Y33)</f>
        <v>38817110</v>
      </c>
      <c r="AA33" s="217">
        <f>Z33+T33</f>
        <v>426157165</v>
      </c>
      <c r="AB33" s="217"/>
      <c r="AC33" s="217">
        <f>26014136+5600000</f>
        <v>31614136</v>
      </c>
      <c r="AD33" s="217"/>
      <c r="AE33" s="217">
        <f>13041566+937499+450000+631750</f>
        <v>15060815</v>
      </c>
      <c r="AF33" s="217">
        <f>5939749+499514+515154+404422</f>
        <v>7358839</v>
      </c>
      <c r="AG33" s="217">
        <f>SUM(AB33:AF33)</f>
        <v>54033790</v>
      </c>
      <c r="AH33" s="217">
        <f>AG33+AA33</f>
        <v>480190955</v>
      </c>
      <c r="AI33" s="217">
        <v>419894100</v>
      </c>
      <c r="AJ33" s="764">
        <f t="shared" ref="AJ33:AJ39" si="24">AI33/AH33*100</f>
        <v>87.443150610781501</v>
      </c>
    </row>
    <row r="34" spans="1:36" ht="12.5" customHeight="1">
      <c r="A34" s="410"/>
      <c r="B34" s="410"/>
      <c r="C34" s="411"/>
      <c r="D34" s="411">
        <v>2</v>
      </c>
      <c r="E34" s="411" t="s">
        <v>199</v>
      </c>
      <c r="F34" s="412"/>
      <c r="G34" s="36"/>
      <c r="H34" s="162"/>
      <c r="I34" s="162" t="s">
        <v>182</v>
      </c>
      <c r="J34" s="128">
        <v>76101795</v>
      </c>
      <c r="K34" s="208"/>
      <c r="L34" s="217">
        <f t="shared" si="20"/>
        <v>76101795</v>
      </c>
      <c r="M34" s="217">
        <v>2291395</v>
      </c>
      <c r="N34" s="217"/>
      <c r="O34" s="217"/>
      <c r="P34" s="217"/>
      <c r="Q34" s="217">
        <v>6626242</v>
      </c>
      <c r="R34" s="217">
        <v>159502</v>
      </c>
      <c r="S34" s="217">
        <f t="shared" si="21"/>
        <v>9077139</v>
      </c>
      <c r="T34" s="217">
        <f t="shared" si="22"/>
        <v>85178934</v>
      </c>
      <c r="U34" s="217"/>
      <c r="V34" s="217"/>
      <c r="W34" s="217"/>
      <c r="X34" s="217">
        <v>2763336</v>
      </c>
      <c r="Y34" s="217">
        <v>5246609</v>
      </c>
      <c r="Z34" s="217">
        <f t="shared" si="23"/>
        <v>8009945</v>
      </c>
      <c r="AA34" s="217">
        <f>Z34+T34</f>
        <v>93188879</v>
      </c>
      <c r="AB34" s="217"/>
      <c r="AC34" s="217">
        <f>1092000+5611486</f>
        <v>6703486</v>
      </c>
      <c r="AD34" s="217"/>
      <c r="AE34" s="217">
        <f>87750+182812+2543105+123191</f>
        <v>2936858</v>
      </c>
      <c r="AF34" s="217">
        <f>1158251+48703+50228+39431</f>
        <v>1296613</v>
      </c>
      <c r="AG34" s="217">
        <f t="shared" ref="AG34:AG40" si="25">SUM(AB34:AF34)</f>
        <v>10936957</v>
      </c>
      <c r="AH34" s="217">
        <f t="shared" ref="AH34:AH40" si="26">AG34+AA34</f>
        <v>104125836</v>
      </c>
      <c r="AI34" s="217">
        <v>92933345</v>
      </c>
      <c r="AJ34" s="764">
        <f t="shared" si="24"/>
        <v>89.250995305334214</v>
      </c>
    </row>
    <row r="35" spans="1:36" ht="12.5" customHeight="1">
      <c r="A35" s="410"/>
      <c r="B35" s="410"/>
      <c r="C35" s="411"/>
      <c r="D35" s="411">
        <v>3</v>
      </c>
      <c r="E35" s="411" t="s">
        <v>199</v>
      </c>
      <c r="F35" s="412"/>
      <c r="G35" s="36"/>
      <c r="H35" s="162"/>
      <c r="I35" s="162" t="s">
        <v>116</v>
      </c>
      <c r="J35" s="128">
        <v>209729329</v>
      </c>
      <c r="K35" s="208"/>
      <c r="L35" s="217">
        <f t="shared" si="20"/>
        <v>209729329</v>
      </c>
      <c r="M35" s="217">
        <v>36212683</v>
      </c>
      <c r="N35" s="217"/>
      <c r="O35" s="217">
        <v>-204832</v>
      </c>
      <c r="P35" s="217"/>
      <c r="Q35" s="217"/>
      <c r="R35" s="217"/>
      <c r="S35" s="217">
        <f t="shared" si="21"/>
        <v>36007851</v>
      </c>
      <c r="T35" s="217">
        <f t="shared" si="22"/>
        <v>245737180</v>
      </c>
      <c r="U35" s="217"/>
      <c r="V35" s="217"/>
      <c r="W35" s="217"/>
      <c r="X35" s="217"/>
      <c r="Y35" s="217">
        <v>51680000</v>
      </c>
      <c r="Z35" s="217">
        <f t="shared" si="23"/>
        <v>51680000</v>
      </c>
      <c r="AA35" s="217">
        <f>Z35+T35</f>
        <v>297417180</v>
      </c>
      <c r="AB35" s="217"/>
      <c r="AC35" s="217">
        <f>-39625622-6692000</f>
        <v>-46317622</v>
      </c>
      <c r="AD35" s="217"/>
      <c r="AE35" s="217"/>
      <c r="AF35" s="217"/>
      <c r="AG35" s="217">
        <f t="shared" si="25"/>
        <v>-46317622</v>
      </c>
      <c r="AH35" s="217">
        <f t="shared" si="26"/>
        <v>251099558</v>
      </c>
      <c r="AI35" s="217">
        <v>202613338</v>
      </c>
      <c r="AJ35" s="764">
        <f t="shared" si="24"/>
        <v>80.690439925027675</v>
      </c>
    </row>
    <row r="36" spans="1:36" ht="12.5" customHeight="1">
      <c r="A36" s="410"/>
      <c r="B36" s="410"/>
      <c r="C36" s="411"/>
      <c r="D36" s="411">
        <v>4</v>
      </c>
      <c r="E36" s="411" t="s">
        <v>199</v>
      </c>
      <c r="F36" s="412"/>
      <c r="G36" s="36"/>
      <c r="H36" s="162"/>
      <c r="I36" s="162" t="s">
        <v>36</v>
      </c>
      <c r="J36" s="128"/>
      <c r="K36" s="208"/>
      <c r="L36" s="217">
        <f t="shared" si="20"/>
        <v>0</v>
      </c>
      <c r="M36" s="217"/>
      <c r="N36" s="217"/>
      <c r="O36" s="217"/>
      <c r="P36" s="217"/>
      <c r="Q36" s="217"/>
      <c r="R36" s="217"/>
      <c r="S36" s="217">
        <f t="shared" si="21"/>
        <v>0</v>
      </c>
      <c r="T36" s="217">
        <f t="shared" si="22"/>
        <v>0</v>
      </c>
      <c r="U36" s="217"/>
      <c r="V36" s="217"/>
      <c r="W36" s="217"/>
      <c r="X36" s="217"/>
      <c r="Y36" s="217"/>
      <c r="Z36" s="217">
        <f t="shared" si="23"/>
        <v>0</v>
      </c>
      <c r="AA36" s="217">
        <f>Z36+T36</f>
        <v>0</v>
      </c>
      <c r="AB36" s="217"/>
      <c r="AC36" s="217"/>
      <c r="AD36" s="217"/>
      <c r="AE36" s="217"/>
      <c r="AF36" s="217"/>
      <c r="AG36" s="217">
        <f t="shared" si="25"/>
        <v>0</v>
      </c>
      <c r="AH36" s="217">
        <f t="shared" si="26"/>
        <v>0</v>
      </c>
      <c r="AI36" s="217"/>
      <c r="AJ36" s="764"/>
    </row>
    <row r="37" spans="1:36" ht="12.5" customHeight="1">
      <c r="A37" s="423"/>
      <c r="B37" s="423"/>
      <c r="C37" s="424"/>
      <c r="D37" s="424">
        <v>5</v>
      </c>
      <c r="E37" s="424" t="s">
        <v>199</v>
      </c>
      <c r="F37" s="425"/>
      <c r="G37" s="36"/>
      <c r="H37" s="162"/>
      <c r="I37" s="162" t="s">
        <v>185</v>
      </c>
      <c r="J37" s="217"/>
      <c r="K37" s="426"/>
      <c r="L37" s="217"/>
      <c r="M37" s="217"/>
      <c r="N37" s="217"/>
      <c r="O37" s="217">
        <v>204832</v>
      </c>
      <c r="P37" s="217"/>
      <c r="Q37" s="217"/>
      <c r="R37" s="217"/>
      <c r="S37" s="217">
        <f t="shared" si="21"/>
        <v>204832</v>
      </c>
      <c r="T37" s="217">
        <f t="shared" si="22"/>
        <v>204832</v>
      </c>
      <c r="U37" s="217"/>
      <c r="V37" s="217"/>
      <c r="W37" s="217"/>
      <c r="X37" s="217"/>
      <c r="Y37" s="217"/>
      <c r="Z37" s="217">
        <f t="shared" si="23"/>
        <v>0</v>
      </c>
      <c r="AA37" s="217">
        <f>Z37+T37</f>
        <v>204832</v>
      </c>
      <c r="AB37" s="217"/>
      <c r="AC37" s="217"/>
      <c r="AD37" s="217"/>
      <c r="AE37" s="217"/>
      <c r="AF37" s="217"/>
      <c r="AG37" s="217">
        <f t="shared" si="25"/>
        <v>0</v>
      </c>
      <c r="AH37" s="217">
        <f t="shared" si="26"/>
        <v>204832</v>
      </c>
      <c r="AI37" s="217">
        <v>204832</v>
      </c>
      <c r="AJ37" s="764">
        <f t="shared" si="24"/>
        <v>100</v>
      </c>
    </row>
    <row r="38" spans="1:36" ht="12.5" customHeight="1">
      <c r="A38" s="410"/>
      <c r="B38" s="410"/>
      <c r="C38" s="411">
        <v>2</v>
      </c>
      <c r="D38" s="411"/>
      <c r="E38" s="411"/>
      <c r="F38" s="412"/>
      <c r="G38" s="36"/>
      <c r="H38" s="162" t="s">
        <v>211</v>
      </c>
      <c r="I38" s="162"/>
      <c r="J38" s="128"/>
      <c r="K38" s="208"/>
      <c r="L38" s="217"/>
      <c r="M38" s="217"/>
      <c r="N38" s="217"/>
      <c r="O38" s="217"/>
      <c r="P38" s="217"/>
      <c r="Q38" s="217"/>
      <c r="R38" s="217"/>
      <c r="S38" s="217">
        <f t="shared" si="21"/>
        <v>0</v>
      </c>
      <c r="T38" s="217"/>
      <c r="U38" s="217"/>
      <c r="V38" s="217"/>
      <c r="W38" s="217"/>
      <c r="X38" s="217"/>
      <c r="Y38" s="217"/>
      <c r="Z38" s="217">
        <f t="shared" si="23"/>
        <v>0</v>
      </c>
      <c r="AA38" s="217"/>
      <c r="AB38" s="217"/>
      <c r="AC38" s="217"/>
      <c r="AD38" s="217"/>
      <c r="AE38" s="217"/>
      <c r="AF38" s="217"/>
      <c r="AG38" s="217"/>
      <c r="AH38" s="217"/>
      <c r="AI38" s="217"/>
      <c r="AJ38" s="764"/>
    </row>
    <row r="39" spans="1:36" ht="12.5" customHeight="1">
      <c r="A39" s="410"/>
      <c r="B39" s="410"/>
      <c r="C39" s="411"/>
      <c r="D39" s="411">
        <v>6</v>
      </c>
      <c r="E39" s="411" t="s">
        <v>199</v>
      </c>
      <c r="F39" s="412"/>
      <c r="G39" s="36"/>
      <c r="H39" s="162"/>
      <c r="I39" s="162" t="s">
        <v>213</v>
      </c>
      <c r="J39" s="128"/>
      <c r="K39" s="208">
        <v>4331000</v>
      </c>
      <c r="L39" s="217">
        <f t="shared" si="20"/>
        <v>4331000</v>
      </c>
      <c r="M39" s="217">
        <v>26000000</v>
      </c>
      <c r="N39" s="217"/>
      <c r="O39" s="217"/>
      <c r="P39" s="217"/>
      <c r="Q39" s="217"/>
      <c r="R39" s="217"/>
      <c r="S39" s="217">
        <f t="shared" si="21"/>
        <v>26000000</v>
      </c>
      <c r="T39" s="217">
        <f t="shared" si="22"/>
        <v>30331000</v>
      </c>
      <c r="U39" s="217"/>
      <c r="V39" s="217"/>
      <c r="W39" s="217"/>
      <c r="X39" s="217"/>
      <c r="Y39" s="217"/>
      <c r="Z39" s="217">
        <f t="shared" si="23"/>
        <v>0</v>
      </c>
      <c r="AA39" s="217">
        <f>Z39+T39</f>
        <v>30331000</v>
      </c>
      <c r="AB39" s="217"/>
      <c r="AC39" s="217">
        <v>8000000</v>
      </c>
      <c r="AD39" s="217"/>
      <c r="AE39" s="217"/>
      <c r="AF39" s="217"/>
      <c r="AG39" s="217">
        <f t="shared" si="25"/>
        <v>8000000</v>
      </c>
      <c r="AH39" s="217">
        <f t="shared" si="26"/>
        <v>38331000</v>
      </c>
      <c r="AI39" s="217">
        <v>25371057</v>
      </c>
      <c r="AJ39" s="764">
        <f t="shared" si="24"/>
        <v>66.189395006652575</v>
      </c>
    </row>
    <row r="40" spans="1:36" ht="12.5" customHeight="1">
      <c r="A40" s="410"/>
      <c r="B40" s="410"/>
      <c r="C40" s="411"/>
      <c r="D40" s="411">
        <v>7</v>
      </c>
      <c r="E40" s="411" t="s">
        <v>199</v>
      </c>
      <c r="F40" s="412"/>
      <c r="G40" s="36"/>
      <c r="H40" s="162"/>
      <c r="I40" s="162" t="s">
        <v>214</v>
      </c>
      <c r="J40" s="128"/>
      <c r="K40" s="208"/>
      <c r="L40" s="217">
        <f t="shared" si="20"/>
        <v>0</v>
      </c>
      <c r="M40" s="217">
        <v>9000000</v>
      </c>
      <c r="N40" s="217"/>
      <c r="O40" s="217"/>
      <c r="P40" s="217"/>
      <c r="Q40" s="217"/>
      <c r="R40" s="217"/>
      <c r="S40" s="217">
        <f t="shared" si="21"/>
        <v>9000000</v>
      </c>
      <c r="T40" s="217">
        <f t="shared" si="22"/>
        <v>9000000</v>
      </c>
      <c r="U40" s="217"/>
      <c r="V40" s="217"/>
      <c r="W40" s="217"/>
      <c r="X40" s="217"/>
      <c r="Y40" s="217"/>
      <c r="Z40" s="217">
        <f t="shared" si="23"/>
        <v>0</v>
      </c>
      <c r="AA40" s="217">
        <f>Z40+T40</f>
        <v>9000000</v>
      </c>
      <c r="AB40" s="217"/>
      <c r="AC40" s="217"/>
      <c r="AD40" s="217"/>
      <c r="AE40" s="217"/>
      <c r="AF40" s="217"/>
      <c r="AG40" s="217">
        <f t="shared" si="25"/>
        <v>0</v>
      </c>
      <c r="AH40" s="217">
        <f t="shared" si="26"/>
        <v>9000000</v>
      </c>
      <c r="AI40" s="217">
        <v>974470</v>
      </c>
      <c r="AJ40" s="764">
        <f t="shared" ref="AJ40" si="27">AI40/AH40*100</f>
        <v>10.827444444444446</v>
      </c>
    </row>
    <row r="41" spans="1:36" ht="6" customHeight="1">
      <c r="A41" s="410"/>
      <c r="B41" s="410"/>
      <c r="C41" s="411"/>
      <c r="D41" s="411"/>
      <c r="E41" s="411"/>
      <c r="F41" s="412"/>
      <c r="G41" s="36"/>
      <c r="H41" s="162"/>
      <c r="I41" s="162"/>
      <c r="J41" s="128"/>
      <c r="K41" s="208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764"/>
    </row>
    <row r="42" spans="1:36" ht="12.5" customHeight="1">
      <c r="A42" s="410"/>
      <c r="B42" s="410"/>
      <c r="C42" s="411"/>
      <c r="D42" s="411"/>
      <c r="E42" s="411"/>
      <c r="F42" s="413" t="s">
        <v>37</v>
      </c>
      <c r="G42" s="413"/>
      <c r="H42" s="414"/>
      <c r="I42" s="413"/>
      <c r="J42" s="415">
        <f>SUM(J33:J40)</f>
        <v>630559277</v>
      </c>
      <c r="K42" s="416">
        <f>SUM(K33:K40)</f>
        <v>4331000</v>
      </c>
      <c r="L42" s="415">
        <f>SUM(L33:L40)</f>
        <v>634890277</v>
      </c>
      <c r="M42" s="415">
        <f>SUM(M33:M40)</f>
        <v>81113848</v>
      </c>
      <c r="N42" s="415"/>
      <c r="O42" s="415">
        <f t="shared" ref="O42:S42" si="28">SUM(O33:O41)</f>
        <v>0</v>
      </c>
      <c r="P42" s="415">
        <f t="shared" si="28"/>
        <v>0</v>
      </c>
      <c r="Q42" s="415">
        <f t="shared" si="28"/>
        <v>39992456</v>
      </c>
      <c r="R42" s="415">
        <f t="shared" si="28"/>
        <v>1795420</v>
      </c>
      <c r="S42" s="415">
        <f t="shared" si="28"/>
        <v>122901724</v>
      </c>
      <c r="T42" s="415">
        <f>SUM(T33:T41)</f>
        <v>757792001</v>
      </c>
      <c r="U42" s="415"/>
      <c r="V42" s="415"/>
      <c r="W42" s="415"/>
      <c r="X42" s="415">
        <f t="shared" ref="X42:Z42" si="29">SUM(X33:X41)</f>
        <v>16934287</v>
      </c>
      <c r="Y42" s="415">
        <f t="shared" si="29"/>
        <v>81572768</v>
      </c>
      <c r="Z42" s="415">
        <f t="shared" si="29"/>
        <v>98507055</v>
      </c>
      <c r="AA42" s="415">
        <f>SUM(AA33:AA41)</f>
        <v>856299056</v>
      </c>
      <c r="AB42" s="415">
        <f t="shared" ref="AB42:AC42" si="30">SUM(AB33:AB41)</f>
        <v>0</v>
      </c>
      <c r="AC42" s="415">
        <f t="shared" si="30"/>
        <v>0</v>
      </c>
      <c r="AD42" s="415"/>
      <c r="AE42" s="415">
        <f t="shared" ref="AE42:AG42" si="31">SUM(AE33:AE41)</f>
        <v>17997673</v>
      </c>
      <c r="AF42" s="415">
        <f t="shared" si="31"/>
        <v>8655452</v>
      </c>
      <c r="AG42" s="415">
        <f t="shared" si="31"/>
        <v>26653125</v>
      </c>
      <c r="AH42" s="415">
        <f>SUM(AH33:AH41)</f>
        <v>882952181</v>
      </c>
      <c r="AI42" s="415">
        <f>SUM(AI33:AI41)</f>
        <v>741991142</v>
      </c>
      <c r="AJ42" s="765">
        <f>AI42/AH42*100</f>
        <v>84.035257850504138</v>
      </c>
    </row>
    <row r="43" spans="1:36" ht="12.5" customHeight="1">
      <c r="A43" s="410"/>
      <c r="B43" s="410"/>
      <c r="C43" s="411"/>
      <c r="D43" s="411"/>
      <c r="E43" s="411"/>
      <c r="F43" s="412"/>
      <c r="G43" s="36"/>
      <c r="H43" s="162"/>
      <c r="I43" s="36"/>
      <c r="J43" s="419"/>
      <c r="K43" s="420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  <c r="AC43" s="421"/>
      <c r="AD43" s="421"/>
      <c r="AE43" s="421"/>
      <c r="AF43" s="421"/>
      <c r="AG43" s="421"/>
      <c r="AH43" s="421"/>
      <c r="AI43" s="421"/>
      <c r="AJ43" s="766"/>
    </row>
    <row r="44" spans="1:36" s="422" customFormat="1" ht="12.5" customHeight="1">
      <c r="A44" s="410">
        <v>4</v>
      </c>
      <c r="B44" s="410"/>
      <c r="C44" s="411"/>
      <c r="D44" s="411"/>
      <c r="E44" s="411"/>
      <c r="F44" s="36" t="s">
        <v>162</v>
      </c>
      <c r="H44" s="162"/>
      <c r="I44" s="162"/>
      <c r="J44" s="128"/>
      <c r="K44" s="208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764"/>
    </row>
    <row r="45" spans="1:36" ht="12.5" customHeight="1">
      <c r="A45" s="410"/>
      <c r="B45" s="410"/>
      <c r="C45" s="411">
        <v>1</v>
      </c>
      <c r="D45" s="411"/>
      <c r="E45" s="411"/>
      <c r="F45" s="412"/>
      <c r="G45" s="36"/>
      <c r="H45" s="162" t="s">
        <v>35</v>
      </c>
      <c r="I45" s="162"/>
      <c r="J45" s="128"/>
      <c r="K45" s="208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764"/>
    </row>
    <row r="46" spans="1:36" ht="12.5" customHeight="1">
      <c r="A46" s="410"/>
      <c r="B46" s="410"/>
      <c r="C46" s="411"/>
      <c r="D46" s="411">
        <v>1</v>
      </c>
      <c r="E46" s="411" t="s">
        <v>199</v>
      </c>
      <c r="F46" s="412"/>
      <c r="G46" s="36"/>
      <c r="H46" s="162"/>
      <c r="I46" s="162" t="s">
        <v>180</v>
      </c>
      <c r="J46" s="128">
        <v>301736481</v>
      </c>
      <c r="K46" s="208"/>
      <c r="L46" s="217">
        <f>SUM(J46:K46)</f>
        <v>301736481</v>
      </c>
      <c r="M46" s="217">
        <v>1806112</v>
      </c>
      <c r="N46" s="217"/>
      <c r="O46" s="217"/>
      <c r="P46" s="217"/>
      <c r="Q46" s="217">
        <v>188397</v>
      </c>
      <c r="R46" s="217">
        <v>1435627</v>
      </c>
      <c r="S46" s="217">
        <f t="shared" ref="S46:S50" si="32">SUM(M46:R46)</f>
        <v>3430136</v>
      </c>
      <c r="T46" s="217">
        <f t="shared" ref="T46:T50" si="33">S46+L46</f>
        <v>305166617</v>
      </c>
      <c r="U46" s="217"/>
      <c r="V46" s="217">
        <v>680335</v>
      </c>
      <c r="W46" s="217"/>
      <c r="X46" s="217">
        <v>3732694</v>
      </c>
      <c r="Y46" s="217">
        <v>2093009</v>
      </c>
      <c r="Z46" s="217">
        <f>SUM(U46:Y46)</f>
        <v>6506038</v>
      </c>
      <c r="AA46" s="217">
        <f>Z46+T46</f>
        <v>311672655</v>
      </c>
      <c r="AB46" s="217"/>
      <c r="AC46" s="217">
        <f>-4300000+770000</f>
        <v>-3530000</v>
      </c>
      <c r="AD46" s="217"/>
      <c r="AE46" s="217">
        <f>100000+94199</f>
        <v>194199</v>
      </c>
      <c r="AF46" s="217">
        <f>694491+384414+433329</f>
        <v>1512234</v>
      </c>
      <c r="AG46" s="217">
        <f>SUM(AB46:AF46)</f>
        <v>-1823567</v>
      </c>
      <c r="AH46" s="217">
        <f>AG46+AA46</f>
        <v>309849088</v>
      </c>
      <c r="AI46" s="217">
        <v>304087893</v>
      </c>
      <c r="AJ46" s="764">
        <f t="shared" ref="AJ46:AJ48" si="34">AI46/AH46*100</f>
        <v>98.140644841917364</v>
      </c>
    </row>
    <row r="47" spans="1:36" ht="12.5" customHeight="1">
      <c r="A47" s="410"/>
      <c r="B47" s="410"/>
      <c r="C47" s="411"/>
      <c r="D47" s="411">
        <v>2</v>
      </c>
      <c r="E47" s="411" t="s">
        <v>199</v>
      </c>
      <c r="F47" s="412"/>
      <c r="G47" s="36"/>
      <c r="H47" s="162"/>
      <c r="I47" s="162" t="s">
        <v>182</v>
      </c>
      <c r="J47" s="128">
        <v>65344304</v>
      </c>
      <c r="K47" s="208"/>
      <c r="L47" s="217">
        <f>SUM(J47:K47)</f>
        <v>65344304</v>
      </c>
      <c r="M47" s="217">
        <v>728325</v>
      </c>
      <c r="N47" s="217"/>
      <c r="O47" s="217"/>
      <c r="P47" s="217"/>
      <c r="Q47" s="217">
        <v>37755</v>
      </c>
      <c r="R47" s="217">
        <v>275985</v>
      </c>
      <c r="S47" s="217">
        <f t="shared" si="32"/>
        <v>1042065</v>
      </c>
      <c r="T47" s="217">
        <f t="shared" si="33"/>
        <v>66386369</v>
      </c>
      <c r="U47" s="217"/>
      <c r="V47" s="217">
        <v>132665</v>
      </c>
      <c r="W47" s="217"/>
      <c r="X47" s="217">
        <v>727876</v>
      </c>
      <c r="Y47" s="217">
        <v>309942</v>
      </c>
      <c r="Z47" s="217">
        <f>SUM(U47:Y47)</f>
        <v>1170483</v>
      </c>
      <c r="AA47" s="217">
        <f>Z47+T47</f>
        <v>67556852</v>
      </c>
      <c r="AB47" s="217"/>
      <c r="AC47" s="217">
        <f>150150+2800000</f>
        <v>2950150</v>
      </c>
      <c r="AD47" s="217"/>
      <c r="AE47" s="217">
        <f>19500+18369</f>
        <v>37869</v>
      </c>
      <c r="AF47" s="217">
        <f>112301+59062+63832</f>
        <v>235195</v>
      </c>
      <c r="AG47" s="217">
        <f t="shared" ref="AG47:AG50" si="35">SUM(AB47:AF47)</f>
        <v>3223214</v>
      </c>
      <c r="AH47" s="217">
        <f t="shared" ref="AH47:AH50" si="36">AG47+AA47</f>
        <v>70780066</v>
      </c>
      <c r="AI47" s="217">
        <v>68191475</v>
      </c>
      <c r="AJ47" s="764">
        <f t="shared" si="34"/>
        <v>96.34276831558762</v>
      </c>
    </row>
    <row r="48" spans="1:36" ht="12.5" customHeight="1">
      <c r="A48" s="410"/>
      <c r="B48" s="410"/>
      <c r="C48" s="411"/>
      <c r="D48" s="411">
        <v>3</v>
      </c>
      <c r="E48" s="411" t="s">
        <v>199</v>
      </c>
      <c r="F48" s="412"/>
      <c r="G48" s="36"/>
      <c r="H48" s="162"/>
      <c r="I48" s="162" t="s">
        <v>116</v>
      </c>
      <c r="J48" s="128">
        <v>76142552</v>
      </c>
      <c r="K48" s="208"/>
      <c r="L48" s="217">
        <f>SUM(J48:K48)</f>
        <v>76142552</v>
      </c>
      <c r="M48" s="217">
        <v>1431627</v>
      </c>
      <c r="N48" s="217"/>
      <c r="O48" s="217"/>
      <c r="P48" s="217"/>
      <c r="Q48" s="217">
        <v>350000</v>
      </c>
      <c r="R48" s="217"/>
      <c r="S48" s="217">
        <f t="shared" si="32"/>
        <v>1781627</v>
      </c>
      <c r="T48" s="217">
        <f t="shared" si="33"/>
        <v>77924179</v>
      </c>
      <c r="U48" s="217"/>
      <c r="V48" s="217">
        <v>522000</v>
      </c>
      <c r="W48" s="217"/>
      <c r="X48" s="217"/>
      <c r="Y48" s="217"/>
      <c r="Z48" s="217">
        <f>SUM(U48:Y48)</f>
        <v>522000</v>
      </c>
      <c r="AA48" s="217">
        <f>Z48+T48</f>
        <v>78446179</v>
      </c>
      <c r="AB48" s="217"/>
      <c r="AC48" s="217">
        <v>-537408</v>
      </c>
      <c r="AD48" s="217"/>
      <c r="AE48" s="217"/>
      <c r="AF48" s="217"/>
      <c r="AG48" s="217">
        <f t="shared" si="35"/>
        <v>-537408</v>
      </c>
      <c r="AH48" s="217">
        <f t="shared" si="36"/>
        <v>77908771</v>
      </c>
      <c r="AI48" s="217">
        <v>69586562</v>
      </c>
      <c r="AJ48" s="764">
        <f t="shared" si="34"/>
        <v>89.318007596346249</v>
      </c>
    </row>
    <row r="49" spans="1:36" ht="12.5" customHeight="1">
      <c r="A49" s="410"/>
      <c r="B49" s="410"/>
      <c r="C49" s="411">
        <v>2</v>
      </c>
      <c r="D49" s="411"/>
      <c r="E49" s="411"/>
      <c r="F49" s="412"/>
      <c r="G49" s="36"/>
      <c r="H49" s="162" t="s">
        <v>211</v>
      </c>
      <c r="I49" s="162"/>
      <c r="J49" s="128"/>
      <c r="K49" s="208"/>
      <c r="L49" s="217"/>
      <c r="M49" s="217"/>
      <c r="N49" s="217"/>
      <c r="O49" s="217"/>
      <c r="P49" s="217"/>
      <c r="Q49" s="217"/>
      <c r="R49" s="217"/>
      <c r="S49" s="217">
        <f t="shared" si="32"/>
        <v>0</v>
      </c>
      <c r="T49" s="217"/>
      <c r="U49" s="217"/>
      <c r="V49" s="217"/>
      <c r="W49" s="217"/>
      <c r="X49" s="217"/>
      <c r="Y49" s="217"/>
      <c r="Z49" s="217">
        <f>SUM(U49:Y49)</f>
        <v>0</v>
      </c>
      <c r="AA49" s="217"/>
      <c r="AB49" s="217"/>
      <c r="AC49" s="217"/>
      <c r="AD49" s="217"/>
      <c r="AE49" s="217"/>
      <c r="AF49" s="217"/>
      <c r="AG49" s="217"/>
      <c r="AH49" s="217"/>
      <c r="AI49" s="217"/>
      <c r="AJ49" s="764"/>
    </row>
    <row r="50" spans="1:36" ht="12.5" customHeight="1">
      <c r="A50" s="410"/>
      <c r="B50" s="410"/>
      <c r="C50" s="411"/>
      <c r="D50" s="411">
        <v>6</v>
      </c>
      <c r="E50" s="411" t="s">
        <v>199</v>
      </c>
      <c r="F50" s="412"/>
      <c r="G50" s="36"/>
      <c r="H50" s="162"/>
      <c r="I50" s="162" t="s">
        <v>213</v>
      </c>
      <c r="J50" s="128"/>
      <c r="K50" s="208">
        <v>1032000</v>
      </c>
      <c r="L50" s="217">
        <f>SUM(J50:K50)</f>
        <v>1032000</v>
      </c>
      <c r="M50" s="217">
        <v>125835</v>
      </c>
      <c r="N50" s="217"/>
      <c r="O50" s="217"/>
      <c r="P50" s="217"/>
      <c r="Q50" s="217"/>
      <c r="R50" s="217"/>
      <c r="S50" s="217">
        <f t="shared" si="32"/>
        <v>125835</v>
      </c>
      <c r="T50" s="217">
        <f t="shared" si="33"/>
        <v>1157835</v>
      </c>
      <c r="U50" s="217"/>
      <c r="V50" s="217"/>
      <c r="W50" s="217"/>
      <c r="X50" s="217"/>
      <c r="Y50" s="217"/>
      <c r="Z50" s="217">
        <f>SUM(U50:Y50)</f>
        <v>0</v>
      </c>
      <c r="AA50" s="217">
        <f>Z50+T50</f>
        <v>1157835</v>
      </c>
      <c r="AB50" s="217"/>
      <c r="AC50" s="217">
        <v>1500000</v>
      </c>
      <c r="AD50" s="217"/>
      <c r="AE50" s="217"/>
      <c r="AF50" s="217"/>
      <c r="AG50" s="217">
        <f t="shared" si="35"/>
        <v>1500000</v>
      </c>
      <c r="AH50" s="217">
        <f t="shared" si="36"/>
        <v>2657835</v>
      </c>
      <c r="AI50" s="217">
        <v>1923238</v>
      </c>
      <c r="AJ50" s="764">
        <f t="shared" ref="AJ50" si="37">AI50/AH50*100</f>
        <v>72.361075838041117</v>
      </c>
    </row>
    <row r="51" spans="1:36" ht="7" customHeight="1">
      <c r="A51" s="410"/>
      <c r="B51" s="410"/>
      <c r="C51" s="411"/>
      <c r="D51" s="411"/>
      <c r="E51" s="411"/>
      <c r="F51" s="412"/>
      <c r="G51" s="36"/>
      <c r="H51" s="162"/>
      <c r="I51" s="162"/>
      <c r="J51" s="128"/>
      <c r="K51" s="208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764"/>
    </row>
    <row r="52" spans="1:36" ht="12.5" customHeight="1">
      <c r="A52" s="410"/>
      <c r="B52" s="410"/>
      <c r="C52" s="411"/>
      <c r="D52" s="411"/>
      <c r="E52" s="411"/>
      <c r="F52" s="413" t="s">
        <v>37</v>
      </c>
      <c r="G52" s="413"/>
      <c r="H52" s="414"/>
      <c r="I52" s="413"/>
      <c r="J52" s="415">
        <f>SUM(J46:J50)</f>
        <v>443223337</v>
      </c>
      <c r="K52" s="416">
        <f>SUM(K46:K50)</f>
        <v>1032000</v>
      </c>
      <c r="L52" s="415">
        <f>SUM(L46:L50)</f>
        <v>444255337</v>
      </c>
      <c r="M52" s="415">
        <f>SUM(M46:M50)</f>
        <v>4091899</v>
      </c>
      <c r="N52" s="415"/>
      <c r="O52" s="415"/>
      <c r="P52" s="415">
        <f t="shared" ref="P52:S52" si="38">SUM(P46:P51)</f>
        <v>0</v>
      </c>
      <c r="Q52" s="415">
        <f t="shared" si="38"/>
        <v>576152</v>
      </c>
      <c r="R52" s="415">
        <f t="shared" si="38"/>
        <v>1711612</v>
      </c>
      <c r="S52" s="415">
        <f t="shared" si="38"/>
        <v>6379663</v>
      </c>
      <c r="T52" s="415">
        <f>SUM(T46:T51)</f>
        <v>450635000</v>
      </c>
      <c r="U52" s="415"/>
      <c r="V52" s="415">
        <f t="shared" ref="V52:Z52" si="39">SUM(V46:V51)</f>
        <v>1335000</v>
      </c>
      <c r="W52" s="415"/>
      <c r="X52" s="415">
        <f t="shared" si="39"/>
        <v>4460570</v>
      </c>
      <c r="Y52" s="415">
        <f t="shared" si="39"/>
        <v>2402951</v>
      </c>
      <c r="Z52" s="415">
        <f t="shared" si="39"/>
        <v>8198521</v>
      </c>
      <c r="AA52" s="415">
        <f>SUM(AA46:AA51)</f>
        <v>458833521</v>
      </c>
      <c r="AB52" s="415"/>
      <c r="AC52" s="415">
        <f t="shared" ref="AC52" si="40">SUM(AC46:AC51)</f>
        <v>382742</v>
      </c>
      <c r="AD52" s="415"/>
      <c r="AE52" s="415">
        <f t="shared" ref="AE52:AG52" si="41">SUM(AE46:AE51)</f>
        <v>232068</v>
      </c>
      <c r="AF52" s="415">
        <f t="shared" si="41"/>
        <v>1747429</v>
      </c>
      <c r="AG52" s="415">
        <f t="shared" si="41"/>
        <v>2362239</v>
      </c>
      <c r="AH52" s="415">
        <f>SUM(AH46:AH51)</f>
        <v>461195760</v>
      </c>
      <c r="AI52" s="415">
        <f>SUM(AI46:AI51)</f>
        <v>443789168</v>
      </c>
      <c r="AJ52" s="765">
        <f>AI52/AH52*100</f>
        <v>96.225769291547692</v>
      </c>
    </row>
    <row r="53" spans="1:36" ht="9" customHeight="1">
      <c r="A53" s="410"/>
      <c r="B53" s="410"/>
      <c r="C53" s="411"/>
      <c r="D53" s="411"/>
      <c r="E53" s="411"/>
      <c r="F53" s="427"/>
      <c r="G53" s="428"/>
      <c r="H53" s="429"/>
      <c r="I53" s="430"/>
      <c r="J53" s="128"/>
      <c r="K53" s="208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764"/>
    </row>
    <row r="54" spans="1:36" s="422" customFormat="1" ht="14">
      <c r="A54" s="410">
        <v>5</v>
      </c>
      <c r="B54" s="410"/>
      <c r="C54" s="411"/>
      <c r="D54" s="411"/>
      <c r="E54" s="411"/>
      <c r="F54" s="36" t="s">
        <v>26</v>
      </c>
      <c r="H54" s="162"/>
      <c r="I54" s="162"/>
      <c r="J54" s="128"/>
      <c r="K54" s="208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  <c r="AE54" s="217"/>
      <c r="AF54" s="217"/>
      <c r="AG54" s="217"/>
      <c r="AH54" s="217"/>
      <c r="AI54" s="217"/>
      <c r="AJ54" s="764"/>
    </row>
    <row r="55" spans="1:36" ht="14">
      <c r="A55" s="410"/>
      <c r="B55" s="410"/>
      <c r="C55" s="411">
        <v>1</v>
      </c>
      <c r="D55" s="411"/>
      <c r="E55" s="411"/>
      <c r="F55" s="412"/>
      <c r="G55" s="36"/>
      <c r="H55" s="162" t="s">
        <v>35</v>
      </c>
      <c r="I55" s="162"/>
      <c r="J55" s="128"/>
      <c r="K55" s="208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764"/>
    </row>
    <row r="56" spans="1:36" ht="14">
      <c r="A56" s="410"/>
      <c r="B56" s="410"/>
      <c r="C56" s="411"/>
      <c r="D56" s="411">
        <v>1</v>
      </c>
      <c r="E56" s="411" t="s">
        <v>199</v>
      </c>
      <c r="F56" s="412"/>
      <c r="G56" s="36"/>
      <c r="H56" s="162"/>
      <c r="I56" s="162" t="s">
        <v>180</v>
      </c>
      <c r="J56" s="128">
        <v>362703393</v>
      </c>
      <c r="K56" s="208"/>
      <c r="L56" s="217">
        <f>SUM(J56:K56)</f>
        <v>362703393</v>
      </c>
      <c r="M56" s="217">
        <v>3986837</v>
      </c>
      <c r="N56" s="217"/>
      <c r="O56" s="217"/>
      <c r="P56" s="217"/>
      <c r="Q56" s="217">
        <v>1001409</v>
      </c>
      <c r="R56" s="217">
        <v>1854764</v>
      </c>
      <c r="S56" s="217">
        <f t="shared" ref="S56:S60" si="42">SUM(M56:R56)</f>
        <v>6843010</v>
      </c>
      <c r="T56" s="217">
        <f t="shared" ref="T56:T60" si="43">S56+L56</f>
        <v>369546403</v>
      </c>
      <c r="U56" s="217"/>
      <c r="V56" s="217">
        <v>563180</v>
      </c>
      <c r="W56" s="217"/>
      <c r="X56" s="217">
        <v>4242244</v>
      </c>
      <c r="Y56" s="217">
        <v>1026639</v>
      </c>
      <c r="Z56" s="217">
        <f t="shared" ref="Z56:Z61" si="44">SUM(U56:Y56)</f>
        <v>5832063</v>
      </c>
      <c r="AA56" s="217">
        <f>Z56+T56</f>
        <v>375378466</v>
      </c>
      <c r="AB56" s="217"/>
      <c r="AC56" s="217">
        <f>770000-2000000</f>
        <v>-1230000</v>
      </c>
      <c r="AD56" s="217"/>
      <c r="AE56" s="217">
        <f>410000+186300</f>
        <v>596300</v>
      </c>
      <c r="AF56" s="217">
        <f>461790+469826+485382</f>
        <v>1416998</v>
      </c>
      <c r="AG56" s="217">
        <f>SUM(AB56:AF56)</f>
        <v>783298</v>
      </c>
      <c r="AH56" s="217">
        <f>AG56+AA56</f>
        <v>376161764</v>
      </c>
      <c r="AI56" s="217">
        <v>372313754</v>
      </c>
      <c r="AJ56" s="764">
        <f t="shared" ref="AJ56:AJ60" si="45">AI56/AH56*100</f>
        <v>98.97703318937009</v>
      </c>
    </row>
    <row r="57" spans="1:36" ht="14">
      <c r="A57" s="410"/>
      <c r="B57" s="410"/>
      <c r="C57" s="411"/>
      <c r="D57" s="411">
        <v>2</v>
      </c>
      <c r="E57" s="411" t="s">
        <v>199</v>
      </c>
      <c r="F57" s="412"/>
      <c r="G57" s="36"/>
      <c r="H57" s="162"/>
      <c r="I57" s="162" t="s">
        <v>182</v>
      </c>
      <c r="J57" s="128">
        <v>78867281</v>
      </c>
      <c r="K57" s="208"/>
      <c r="L57" s="217">
        <f>SUM(J57:K57)</f>
        <v>78867281</v>
      </c>
      <c r="M57" s="217">
        <v>1089573</v>
      </c>
      <c r="N57" s="217"/>
      <c r="O57" s="217"/>
      <c r="P57" s="217"/>
      <c r="Q57" s="217">
        <v>197474</v>
      </c>
      <c r="R57" s="217">
        <v>180840</v>
      </c>
      <c r="S57" s="217">
        <f t="shared" si="42"/>
        <v>1467887</v>
      </c>
      <c r="T57" s="217">
        <f t="shared" si="43"/>
        <v>80335168</v>
      </c>
      <c r="U57" s="217"/>
      <c r="V57" s="217">
        <v>109820</v>
      </c>
      <c r="W57" s="217"/>
      <c r="X57" s="217">
        <v>827237</v>
      </c>
      <c r="Y57" s="217">
        <v>123772</v>
      </c>
      <c r="Z57" s="217">
        <f t="shared" si="44"/>
        <v>1060829</v>
      </c>
      <c r="AA57" s="217">
        <f>Z57+T57</f>
        <v>81395997</v>
      </c>
      <c r="AB57" s="217"/>
      <c r="AC57" s="217">
        <f>150150+2000000</f>
        <v>2150150</v>
      </c>
      <c r="AD57" s="217"/>
      <c r="AE57" s="217">
        <f>79950+36329</f>
        <v>116279</v>
      </c>
      <c r="AF57" s="217">
        <f>90050+63622+64840</f>
        <v>218512</v>
      </c>
      <c r="AG57" s="217">
        <f t="shared" ref="AG57:AG61" si="46">SUM(AB57:AF57)</f>
        <v>2484941</v>
      </c>
      <c r="AH57" s="217">
        <f t="shared" ref="AH57:AH61" si="47">AG57+AA57</f>
        <v>83880938</v>
      </c>
      <c r="AI57" s="217">
        <v>81684371</v>
      </c>
      <c r="AJ57" s="764">
        <f t="shared" si="45"/>
        <v>97.381327566937799</v>
      </c>
    </row>
    <row r="58" spans="1:36" ht="14">
      <c r="A58" s="410"/>
      <c r="B58" s="410"/>
      <c r="C58" s="411"/>
      <c r="D58" s="411">
        <v>3</v>
      </c>
      <c r="E58" s="411" t="s">
        <v>199</v>
      </c>
      <c r="F58" s="412"/>
      <c r="G58" s="36"/>
      <c r="H58" s="162"/>
      <c r="I58" s="162" t="s">
        <v>116</v>
      </c>
      <c r="J58" s="128">
        <v>90764496</v>
      </c>
      <c r="K58" s="208"/>
      <c r="L58" s="217">
        <f>SUM(J58:K58)</f>
        <v>90764496</v>
      </c>
      <c r="M58" s="217">
        <v>3473748</v>
      </c>
      <c r="N58" s="217"/>
      <c r="O58" s="217"/>
      <c r="P58" s="217"/>
      <c r="Q58" s="217"/>
      <c r="R58" s="217"/>
      <c r="S58" s="217">
        <f t="shared" si="42"/>
        <v>3473748</v>
      </c>
      <c r="T58" s="217">
        <f t="shared" si="43"/>
        <v>94238244</v>
      </c>
      <c r="U58" s="217"/>
      <c r="V58" s="217">
        <v>493000</v>
      </c>
      <c r="W58" s="217"/>
      <c r="X58" s="217"/>
      <c r="Y58" s="217"/>
      <c r="Z58" s="217">
        <f t="shared" si="44"/>
        <v>493000</v>
      </c>
      <c r="AA58" s="217">
        <f>Z58+T58</f>
        <v>94731244</v>
      </c>
      <c r="AB58" s="217"/>
      <c r="AC58" s="217">
        <f>-800000+343724</f>
        <v>-456276</v>
      </c>
      <c r="AD58" s="217"/>
      <c r="AE58" s="217"/>
      <c r="AF58" s="217"/>
      <c r="AG58" s="217">
        <f t="shared" si="46"/>
        <v>-456276</v>
      </c>
      <c r="AH58" s="217">
        <f t="shared" si="47"/>
        <v>94274968</v>
      </c>
      <c r="AI58" s="217">
        <v>83116833</v>
      </c>
      <c r="AJ58" s="764">
        <f t="shared" si="45"/>
        <v>88.164265407122713</v>
      </c>
    </row>
    <row r="59" spans="1:36" ht="14">
      <c r="A59" s="410"/>
      <c r="B59" s="410"/>
      <c r="C59" s="411">
        <v>2</v>
      </c>
      <c r="D59" s="411"/>
      <c r="E59" s="411"/>
      <c r="F59" s="412"/>
      <c r="G59" s="36"/>
      <c r="H59" s="162" t="s">
        <v>211</v>
      </c>
      <c r="I59" s="162"/>
      <c r="J59" s="128"/>
      <c r="K59" s="208"/>
      <c r="L59" s="217"/>
      <c r="M59" s="217"/>
      <c r="N59" s="217"/>
      <c r="O59" s="217"/>
      <c r="P59" s="217"/>
      <c r="Q59" s="217"/>
      <c r="R59" s="217"/>
      <c r="S59" s="217">
        <f t="shared" si="42"/>
        <v>0</v>
      </c>
      <c r="T59" s="217"/>
      <c r="U59" s="217"/>
      <c r="V59" s="217"/>
      <c r="W59" s="217"/>
      <c r="X59" s="217"/>
      <c r="Y59" s="217"/>
      <c r="Z59" s="217">
        <f t="shared" si="44"/>
        <v>0</v>
      </c>
      <c r="AA59" s="217"/>
      <c r="AB59" s="217"/>
      <c r="AC59" s="217"/>
      <c r="AD59" s="217"/>
      <c r="AE59" s="217"/>
      <c r="AF59" s="217"/>
      <c r="AG59" s="217"/>
      <c r="AH59" s="217"/>
      <c r="AI59" s="217"/>
      <c r="AJ59" s="764"/>
    </row>
    <row r="60" spans="1:36" ht="14">
      <c r="A60" s="410"/>
      <c r="B60" s="410"/>
      <c r="C60" s="411"/>
      <c r="D60" s="411">
        <v>6</v>
      </c>
      <c r="E60" s="411" t="s">
        <v>199</v>
      </c>
      <c r="F60" s="412"/>
      <c r="G60" s="36"/>
      <c r="H60" s="162"/>
      <c r="I60" s="162" t="s">
        <v>213</v>
      </c>
      <c r="J60" s="128"/>
      <c r="K60" s="208">
        <v>1195680</v>
      </c>
      <c r="L60" s="217">
        <f>SUM(J60:K60)</f>
        <v>1195680</v>
      </c>
      <c r="M60" s="217">
        <v>3028852</v>
      </c>
      <c r="N60" s="217"/>
      <c r="O60" s="217"/>
      <c r="P60" s="217"/>
      <c r="Q60" s="217"/>
      <c r="R60" s="217"/>
      <c r="S60" s="217">
        <f t="shared" si="42"/>
        <v>3028852</v>
      </c>
      <c r="T60" s="217">
        <f t="shared" si="43"/>
        <v>4224532</v>
      </c>
      <c r="U60" s="217"/>
      <c r="V60" s="217"/>
      <c r="W60" s="217"/>
      <c r="X60" s="217"/>
      <c r="Y60" s="217"/>
      <c r="Z60" s="217">
        <f t="shared" si="44"/>
        <v>0</v>
      </c>
      <c r="AA60" s="217">
        <f>Z60+T60</f>
        <v>4224532</v>
      </c>
      <c r="AB60" s="217"/>
      <c r="AC60" s="217">
        <v>800000</v>
      </c>
      <c r="AD60" s="217"/>
      <c r="AE60" s="217"/>
      <c r="AF60" s="217"/>
      <c r="AG60" s="217">
        <f t="shared" si="46"/>
        <v>800000</v>
      </c>
      <c r="AH60" s="217">
        <f t="shared" si="47"/>
        <v>5024532</v>
      </c>
      <c r="AI60" s="217">
        <v>4932922</v>
      </c>
      <c r="AJ60" s="764">
        <f t="shared" si="45"/>
        <v>98.176745615313038</v>
      </c>
    </row>
    <row r="61" spans="1:36" ht="14">
      <c r="A61" s="423"/>
      <c r="B61" s="423"/>
      <c r="C61" s="424"/>
      <c r="D61" s="424">
        <v>7</v>
      </c>
      <c r="E61" s="424" t="s">
        <v>199</v>
      </c>
      <c r="F61" s="431"/>
      <c r="G61" s="36"/>
      <c r="H61" s="162"/>
      <c r="I61" s="162" t="s">
        <v>214</v>
      </c>
      <c r="J61" s="217"/>
      <c r="K61" s="208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>
        <v>4014788</v>
      </c>
      <c r="W61" s="217"/>
      <c r="X61" s="217"/>
      <c r="Y61" s="217"/>
      <c r="Z61" s="217">
        <f t="shared" si="44"/>
        <v>4014788</v>
      </c>
      <c r="AA61" s="217">
        <f>Z61+T61</f>
        <v>4014788</v>
      </c>
      <c r="AB61" s="217"/>
      <c r="AC61" s="217"/>
      <c r="AD61" s="217"/>
      <c r="AE61" s="217"/>
      <c r="AF61" s="217"/>
      <c r="AG61" s="217">
        <f t="shared" si="46"/>
        <v>0</v>
      </c>
      <c r="AH61" s="217">
        <f t="shared" si="47"/>
        <v>4014788</v>
      </c>
      <c r="AI61" s="217">
        <v>4014788</v>
      </c>
      <c r="AJ61" s="764">
        <f t="shared" ref="AJ61" si="48">AI61/AH61*100</f>
        <v>100</v>
      </c>
    </row>
    <row r="62" spans="1:36" ht="14">
      <c r="A62" s="410"/>
      <c r="B62" s="410"/>
      <c r="C62" s="411"/>
      <c r="D62" s="411"/>
      <c r="E62" s="411"/>
      <c r="F62" s="412"/>
      <c r="G62" s="36"/>
      <c r="H62" s="162"/>
      <c r="I62" s="162"/>
      <c r="J62" s="128"/>
      <c r="K62" s="208"/>
      <c r="L62" s="217"/>
      <c r="M62" s="217"/>
      <c r="N62" s="217"/>
      <c r="O62" s="217"/>
      <c r="P62" s="217"/>
      <c r="Q62" s="217"/>
      <c r="R62" s="217"/>
      <c r="S62" s="217"/>
      <c r="T62" s="217"/>
      <c r="U62" s="217"/>
      <c r="V62" s="217"/>
      <c r="W62" s="217"/>
      <c r="X62" s="217"/>
      <c r="Y62" s="217"/>
      <c r="Z62" s="217"/>
      <c r="AA62" s="217"/>
      <c r="AB62" s="217"/>
      <c r="AC62" s="217"/>
      <c r="AD62" s="217"/>
      <c r="AE62" s="217"/>
      <c r="AF62" s="217"/>
      <c r="AG62" s="217"/>
      <c r="AH62" s="217"/>
      <c r="AI62" s="217"/>
      <c r="AJ62" s="764"/>
    </row>
    <row r="63" spans="1:36" ht="14.5" customHeight="1">
      <c r="A63" s="410"/>
      <c r="B63" s="410"/>
      <c r="C63" s="411"/>
      <c r="D63" s="411"/>
      <c r="E63" s="411"/>
      <c r="F63" s="413" t="s">
        <v>37</v>
      </c>
      <c r="G63" s="413"/>
      <c r="H63" s="414"/>
      <c r="I63" s="413"/>
      <c r="J63" s="415">
        <f>SUM(J56:J60)</f>
        <v>532335170</v>
      </c>
      <c r="K63" s="416">
        <f>SUM(K56:K60)</f>
        <v>1195680</v>
      </c>
      <c r="L63" s="415">
        <f>SUM(L56:L60)</f>
        <v>533530850</v>
      </c>
      <c r="M63" s="415">
        <f>SUM(M56:M60)</f>
        <v>11579010</v>
      </c>
      <c r="N63" s="415"/>
      <c r="O63" s="415"/>
      <c r="P63" s="415">
        <f t="shared" ref="P63:S63" si="49">SUM(P56:P62)</f>
        <v>0</v>
      </c>
      <c r="Q63" s="415">
        <f t="shared" si="49"/>
        <v>1198883</v>
      </c>
      <c r="R63" s="415">
        <f t="shared" si="49"/>
        <v>2035604</v>
      </c>
      <c r="S63" s="415">
        <f t="shared" si="49"/>
        <v>14813497</v>
      </c>
      <c r="T63" s="415">
        <f>SUM(T56:T62)</f>
        <v>548344347</v>
      </c>
      <c r="U63" s="415"/>
      <c r="V63" s="415">
        <f t="shared" ref="V63" si="50">SUM(V56:V62)</f>
        <v>5180788</v>
      </c>
      <c r="W63" s="415"/>
      <c r="X63" s="415">
        <f t="shared" ref="X63:Z63" si="51">SUM(X56:X62)</f>
        <v>5069481</v>
      </c>
      <c r="Y63" s="415">
        <f t="shared" si="51"/>
        <v>1150411</v>
      </c>
      <c r="Z63" s="415">
        <f t="shared" si="51"/>
        <v>11400680</v>
      </c>
      <c r="AA63" s="415">
        <f>SUM(AA56:AA62)</f>
        <v>559745027</v>
      </c>
      <c r="AB63" s="415"/>
      <c r="AC63" s="415">
        <f t="shared" ref="AC63" si="52">SUM(AC56:AC62)</f>
        <v>1263874</v>
      </c>
      <c r="AD63" s="415"/>
      <c r="AE63" s="415">
        <f t="shared" ref="AE63:AG63" si="53">SUM(AE56:AE62)</f>
        <v>712579</v>
      </c>
      <c r="AF63" s="415">
        <f t="shared" si="53"/>
        <v>1635510</v>
      </c>
      <c r="AG63" s="415">
        <f t="shared" si="53"/>
        <v>3611963</v>
      </c>
      <c r="AH63" s="415">
        <f>SUM(AH56:AH62)</f>
        <v>563356990</v>
      </c>
      <c r="AI63" s="415">
        <f>SUM(AI56:AI62)</f>
        <v>546062668</v>
      </c>
      <c r="AJ63" s="765">
        <f>AI63/AH63*100</f>
        <v>96.930130928170428</v>
      </c>
    </row>
    <row r="64" spans="1:36" ht="14">
      <c r="A64" s="410"/>
      <c r="B64" s="410"/>
      <c r="C64" s="411"/>
      <c r="D64" s="411"/>
      <c r="E64" s="411"/>
      <c r="F64" s="412"/>
      <c r="G64" s="36"/>
      <c r="H64" s="162"/>
      <c r="I64" s="36"/>
      <c r="J64" s="419"/>
      <c r="K64" s="420"/>
      <c r="L64" s="421"/>
      <c r="M64" s="421"/>
      <c r="N64" s="421"/>
      <c r="O64" s="421"/>
      <c r="P64" s="421"/>
      <c r="Q64" s="421"/>
      <c r="R64" s="421"/>
      <c r="S64" s="421"/>
      <c r="T64" s="421"/>
      <c r="U64" s="421"/>
      <c r="V64" s="421"/>
      <c r="W64" s="421"/>
      <c r="X64" s="421"/>
      <c r="Y64" s="421"/>
      <c r="Z64" s="421"/>
      <c r="AA64" s="421"/>
      <c r="AB64" s="421"/>
      <c r="AC64" s="421"/>
      <c r="AD64" s="421"/>
      <c r="AE64" s="421"/>
      <c r="AF64" s="421"/>
      <c r="AG64" s="421"/>
      <c r="AH64" s="421"/>
      <c r="AI64" s="421"/>
      <c r="AJ64" s="766"/>
    </row>
    <row r="65" spans="1:36" s="422" customFormat="1" ht="14">
      <c r="A65" s="410">
        <v>6</v>
      </c>
      <c r="B65" s="410"/>
      <c r="C65" s="411"/>
      <c r="D65" s="411"/>
      <c r="E65" s="411"/>
      <c r="F65" s="36" t="s">
        <v>163</v>
      </c>
      <c r="H65" s="162"/>
      <c r="I65" s="162"/>
      <c r="J65" s="128"/>
      <c r="K65" s="208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764"/>
    </row>
    <row r="66" spans="1:36" ht="14">
      <c r="A66" s="410"/>
      <c r="B66" s="410"/>
      <c r="C66" s="411">
        <v>1</v>
      </c>
      <c r="D66" s="411"/>
      <c r="E66" s="411"/>
      <c r="F66" s="412"/>
      <c r="G66" s="36"/>
      <c r="H66" s="162" t="s">
        <v>35</v>
      </c>
      <c r="I66" s="162"/>
      <c r="J66" s="128"/>
      <c r="K66" s="208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764"/>
    </row>
    <row r="67" spans="1:36" ht="14">
      <c r="A67" s="410"/>
      <c r="B67" s="410"/>
      <c r="C67" s="411"/>
      <c r="D67" s="411">
        <v>1</v>
      </c>
      <c r="E67" s="411" t="s">
        <v>199</v>
      </c>
      <c r="F67" s="412"/>
      <c r="G67" s="36"/>
      <c r="H67" s="162"/>
      <c r="I67" s="162" t="s">
        <v>180</v>
      </c>
      <c r="J67" s="128">
        <v>364767031</v>
      </c>
      <c r="K67" s="208"/>
      <c r="L67" s="217">
        <f>SUM(J67:K67)</f>
        <v>364767031</v>
      </c>
      <c r="M67" s="217">
        <v>3911715</v>
      </c>
      <c r="N67" s="217"/>
      <c r="O67" s="217"/>
      <c r="P67" s="217"/>
      <c r="Q67" s="217">
        <v>106903</v>
      </c>
      <c r="R67" s="217">
        <v>1151170</v>
      </c>
      <c r="S67" s="217">
        <f t="shared" ref="S67:S71" si="54">SUM(M67:R67)</f>
        <v>5169788</v>
      </c>
      <c r="T67" s="217">
        <f t="shared" ref="T67:T71" si="55">S67+L67</f>
        <v>369936819</v>
      </c>
      <c r="U67" s="217"/>
      <c r="V67" s="217">
        <v>3014225</v>
      </c>
      <c r="W67" s="217"/>
      <c r="X67" s="217">
        <v>4460639</v>
      </c>
      <c r="Y67" s="217">
        <v>1121715</v>
      </c>
      <c r="Z67" s="217">
        <f>SUM(U67:Y67)</f>
        <v>8596579</v>
      </c>
      <c r="AA67" s="217">
        <f>Z67+T67</f>
        <v>378533398</v>
      </c>
      <c r="AB67" s="217"/>
      <c r="AC67" s="217">
        <f>560000</f>
        <v>560000</v>
      </c>
      <c r="AD67" s="217"/>
      <c r="AE67" s="217">
        <f>450000+40800</f>
        <v>490800</v>
      </c>
      <c r="AF67" s="217">
        <f>245034+700649+408884</f>
        <v>1354567</v>
      </c>
      <c r="AG67" s="217">
        <f t="shared" ref="AG67:AG69" si="56">SUM(AB67:AF67)</f>
        <v>2405367</v>
      </c>
      <c r="AH67" s="217">
        <f>AG67+AA67</f>
        <v>380938765</v>
      </c>
      <c r="AI67" s="217">
        <v>376886717</v>
      </c>
      <c r="AJ67" s="764">
        <f t="shared" ref="AJ67:AJ69" si="57">AI67/AH67*100</f>
        <v>98.936299381345449</v>
      </c>
    </row>
    <row r="68" spans="1:36" ht="14">
      <c r="A68" s="410"/>
      <c r="B68" s="410"/>
      <c r="C68" s="411"/>
      <c r="D68" s="411">
        <v>2</v>
      </c>
      <c r="E68" s="411" t="s">
        <v>199</v>
      </c>
      <c r="F68" s="412"/>
      <c r="G68" s="36"/>
      <c r="H68" s="162"/>
      <c r="I68" s="162" t="s">
        <v>182</v>
      </c>
      <c r="J68" s="128">
        <v>78746037</v>
      </c>
      <c r="K68" s="208"/>
      <c r="L68" s="217">
        <f>SUM(J68:K68)</f>
        <v>78746037</v>
      </c>
      <c r="M68" s="217">
        <v>1448060</v>
      </c>
      <c r="N68" s="217"/>
      <c r="O68" s="217"/>
      <c r="P68" s="217"/>
      <c r="Q68" s="217">
        <v>21469</v>
      </c>
      <c r="R68" s="217">
        <v>112239</v>
      </c>
      <c r="S68" s="217">
        <f t="shared" si="54"/>
        <v>1581768</v>
      </c>
      <c r="T68" s="217">
        <f t="shared" si="55"/>
        <v>80327805</v>
      </c>
      <c r="U68" s="217"/>
      <c r="V68" s="217">
        <v>592063</v>
      </c>
      <c r="W68" s="217"/>
      <c r="X68" s="217">
        <v>869825</v>
      </c>
      <c r="Y68" s="217">
        <v>109367</v>
      </c>
      <c r="Z68" s="217">
        <f>SUM(U68:Y68)</f>
        <v>1571255</v>
      </c>
      <c r="AA68" s="217">
        <f>Z68+T68</f>
        <v>81899060</v>
      </c>
      <c r="AB68" s="217"/>
      <c r="AC68" s="217">
        <v>109200</v>
      </c>
      <c r="AD68" s="217"/>
      <c r="AE68" s="217">
        <f>87750+7956</f>
        <v>95706</v>
      </c>
      <c r="AF68" s="217">
        <f>39866+100061+23891</f>
        <v>163818</v>
      </c>
      <c r="AG68" s="217">
        <f t="shared" si="56"/>
        <v>368724</v>
      </c>
      <c r="AH68" s="217">
        <f t="shared" ref="AH68:AH71" si="58">AG68+AA68</f>
        <v>82267784</v>
      </c>
      <c r="AI68" s="217">
        <v>81388741</v>
      </c>
      <c r="AJ68" s="764">
        <f t="shared" si="57"/>
        <v>98.931485744164448</v>
      </c>
    </row>
    <row r="69" spans="1:36" ht="17" customHeight="1">
      <c r="A69" s="410"/>
      <c r="B69" s="410"/>
      <c r="C69" s="411"/>
      <c r="D69" s="411">
        <v>3</v>
      </c>
      <c r="E69" s="411" t="s">
        <v>199</v>
      </c>
      <c r="F69" s="412"/>
      <c r="G69" s="36"/>
      <c r="H69" s="162"/>
      <c r="I69" s="162" t="s">
        <v>116</v>
      </c>
      <c r="J69" s="128">
        <v>83608757</v>
      </c>
      <c r="K69" s="208"/>
      <c r="L69" s="217">
        <f>SUM(J69:K69)</f>
        <v>83608757</v>
      </c>
      <c r="M69" s="217">
        <v>10856732</v>
      </c>
      <c r="N69" s="217"/>
      <c r="O69" s="217"/>
      <c r="P69" s="217"/>
      <c r="Q69" s="217">
        <v>50000</v>
      </c>
      <c r="R69" s="217"/>
      <c r="S69" s="217">
        <f t="shared" si="54"/>
        <v>10906732</v>
      </c>
      <c r="T69" s="217">
        <f t="shared" si="55"/>
        <v>94515489</v>
      </c>
      <c r="U69" s="217"/>
      <c r="V69" s="217">
        <v>868000</v>
      </c>
      <c r="W69" s="217"/>
      <c r="X69" s="217"/>
      <c r="Y69" s="217"/>
      <c r="Z69" s="217">
        <f>SUM(U69:Y69)</f>
        <v>868000</v>
      </c>
      <c r="AA69" s="217">
        <f>Z69+T69</f>
        <v>95383489</v>
      </c>
      <c r="AB69" s="217"/>
      <c r="AC69" s="217"/>
      <c r="AD69" s="217"/>
      <c r="AE69" s="217"/>
      <c r="AF69" s="217">
        <v>405000</v>
      </c>
      <c r="AG69" s="217">
        <f t="shared" si="56"/>
        <v>405000</v>
      </c>
      <c r="AH69" s="217">
        <f t="shared" si="58"/>
        <v>95788489</v>
      </c>
      <c r="AI69" s="217">
        <v>79837859</v>
      </c>
      <c r="AJ69" s="764">
        <f t="shared" si="57"/>
        <v>83.348072230265586</v>
      </c>
    </row>
    <row r="70" spans="1:36" ht="17" customHeight="1">
      <c r="A70" s="410"/>
      <c r="B70" s="410"/>
      <c r="C70" s="411">
        <v>2</v>
      </c>
      <c r="D70" s="411"/>
      <c r="E70" s="411"/>
      <c r="F70" s="412"/>
      <c r="G70" s="36"/>
      <c r="H70" s="162" t="s">
        <v>211</v>
      </c>
      <c r="I70" s="162"/>
      <c r="J70" s="128"/>
      <c r="K70" s="208"/>
      <c r="L70" s="217"/>
      <c r="M70" s="217"/>
      <c r="N70" s="217"/>
      <c r="O70" s="217"/>
      <c r="P70" s="217"/>
      <c r="Q70" s="217"/>
      <c r="R70" s="217"/>
      <c r="S70" s="217">
        <f t="shared" si="54"/>
        <v>0</v>
      </c>
      <c r="T70" s="217"/>
      <c r="U70" s="217"/>
      <c r="V70" s="217"/>
      <c r="W70" s="217"/>
      <c r="X70" s="217"/>
      <c r="Y70" s="217"/>
      <c r="Z70" s="217">
        <f>SUM(U70:Y70)</f>
        <v>0</v>
      </c>
      <c r="AA70" s="217"/>
      <c r="AB70" s="217"/>
      <c r="AC70" s="217"/>
      <c r="AD70" s="217"/>
      <c r="AE70" s="217"/>
      <c r="AF70" s="217"/>
      <c r="AG70" s="217"/>
      <c r="AH70" s="217"/>
      <c r="AI70" s="217"/>
      <c r="AJ70" s="764"/>
    </row>
    <row r="71" spans="1:36" ht="17" customHeight="1">
      <c r="A71" s="410"/>
      <c r="B71" s="410"/>
      <c r="C71" s="411"/>
      <c r="D71" s="411">
        <v>6</v>
      </c>
      <c r="E71" s="411" t="s">
        <v>199</v>
      </c>
      <c r="F71" s="412"/>
      <c r="G71" s="36"/>
      <c r="H71" s="162"/>
      <c r="I71" s="162" t="s">
        <v>213</v>
      </c>
      <c r="J71" s="128"/>
      <c r="K71" s="208">
        <v>2032000</v>
      </c>
      <c r="L71" s="217">
        <f>SUM(J71:K71)</f>
        <v>2032000</v>
      </c>
      <c r="M71" s="217">
        <v>2331513</v>
      </c>
      <c r="N71" s="217"/>
      <c r="O71" s="217"/>
      <c r="P71" s="217"/>
      <c r="Q71" s="217"/>
      <c r="R71" s="217"/>
      <c r="S71" s="217">
        <f t="shared" si="54"/>
        <v>2331513</v>
      </c>
      <c r="T71" s="217">
        <f t="shared" si="55"/>
        <v>4363513</v>
      </c>
      <c r="U71" s="217"/>
      <c r="V71" s="217"/>
      <c r="W71" s="217"/>
      <c r="X71" s="217"/>
      <c r="Y71" s="217"/>
      <c r="Z71" s="217">
        <f>SUM(U71:Y71)</f>
        <v>0</v>
      </c>
      <c r="AA71" s="217">
        <f>Z71+T71</f>
        <v>4363513</v>
      </c>
      <c r="AB71" s="217"/>
      <c r="AC71" s="217">
        <v>698500</v>
      </c>
      <c r="AD71" s="217"/>
      <c r="AE71" s="217"/>
      <c r="AF71" s="217">
        <v>195000</v>
      </c>
      <c r="AG71" s="217">
        <f>SUM(AB71:AF71)</f>
        <v>893500</v>
      </c>
      <c r="AH71" s="217">
        <f t="shared" si="58"/>
        <v>5257013</v>
      </c>
      <c r="AI71" s="217">
        <v>4973343</v>
      </c>
      <c r="AJ71" s="764">
        <f t="shared" ref="AJ71" si="59">AI71/AH71*100</f>
        <v>94.603969973062647</v>
      </c>
    </row>
    <row r="72" spans="1:36" ht="17" customHeight="1">
      <c r="A72" s="410"/>
      <c r="B72" s="410"/>
      <c r="C72" s="411"/>
      <c r="D72" s="411"/>
      <c r="E72" s="411"/>
      <c r="F72" s="412"/>
      <c r="G72" s="36"/>
      <c r="H72" s="162"/>
      <c r="I72" s="162"/>
      <c r="J72" s="128"/>
      <c r="K72" s="208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17"/>
      <c r="AG72" s="217"/>
      <c r="AH72" s="217"/>
      <c r="AI72" s="217"/>
      <c r="AJ72" s="764"/>
    </row>
    <row r="73" spans="1:36" ht="17" customHeight="1">
      <c r="A73" s="410"/>
      <c r="B73" s="410"/>
      <c r="C73" s="411"/>
      <c r="D73" s="411"/>
      <c r="E73" s="411"/>
      <c r="F73" s="413" t="s">
        <v>37</v>
      </c>
      <c r="G73" s="413"/>
      <c r="H73" s="414"/>
      <c r="I73" s="413"/>
      <c r="J73" s="415">
        <f>SUM(J67:J72)</f>
        <v>527121825</v>
      </c>
      <c r="K73" s="416">
        <f>SUM(K67:K72)</f>
        <v>2032000</v>
      </c>
      <c r="L73" s="415">
        <f>SUM(L67:L72)</f>
        <v>529153825</v>
      </c>
      <c r="M73" s="415">
        <f>SUM(M67:M72)</f>
        <v>18548020</v>
      </c>
      <c r="N73" s="415"/>
      <c r="O73" s="415"/>
      <c r="P73" s="415"/>
      <c r="Q73" s="415">
        <f t="shared" ref="Q73:R73" si="60">SUM(Q67:Q72)</f>
        <v>178372</v>
      </c>
      <c r="R73" s="415">
        <f t="shared" si="60"/>
        <v>1263409</v>
      </c>
      <c r="S73" s="415">
        <f>SUM(S67:S72)</f>
        <v>19989801</v>
      </c>
      <c r="T73" s="415">
        <f>SUM(T67:T72)</f>
        <v>549143626</v>
      </c>
      <c r="U73" s="415"/>
      <c r="V73" s="415">
        <f t="shared" ref="V73:Y73" si="61">SUM(V67:V72)</f>
        <v>4474288</v>
      </c>
      <c r="W73" s="415"/>
      <c r="X73" s="415">
        <f t="shared" si="61"/>
        <v>5330464</v>
      </c>
      <c r="Y73" s="415">
        <f t="shared" si="61"/>
        <v>1231082</v>
      </c>
      <c r="Z73" s="415">
        <f>SUM(Z67:Z72)</f>
        <v>11035834</v>
      </c>
      <c r="AA73" s="415">
        <f>SUM(AA67:AA72)</f>
        <v>560179460</v>
      </c>
      <c r="AB73" s="415"/>
      <c r="AC73" s="415">
        <f t="shared" ref="AC73" si="62">SUM(AC67:AC72)</f>
        <v>1367700</v>
      </c>
      <c r="AD73" s="415"/>
      <c r="AE73" s="415">
        <f t="shared" ref="AE73:AF73" si="63">SUM(AE67:AE72)</f>
        <v>586506</v>
      </c>
      <c r="AF73" s="415">
        <f t="shared" si="63"/>
        <v>2118385</v>
      </c>
      <c r="AG73" s="415">
        <f>SUM(AG67:AG72)</f>
        <v>4072591</v>
      </c>
      <c r="AH73" s="415">
        <f>SUM(AH67:AH72)</f>
        <v>564252051</v>
      </c>
      <c r="AI73" s="415">
        <f>SUM(AI67:AI72)</f>
        <v>543086660</v>
      </c>
      <c r="AJ73" s="765">
        <f>AI73/AH73*100</f>
        <v>96.248947440689065</v>
      </c>
    </row>
    <row r="74" spans="1:36" ht="14">
      <c r="A74" s="410"/>
      <c r="B74" s="410"/>
      <c r="C74" s="411"/>
      <c r="D74" s="411"/>
      <c r="E74" s="411"/>
      <c r="F74" s="417"/>
      <c r="G74" s="417"/>
      <c r="H74" s="418"/>
      <c r="I74" s="417"/>
      <c r="J74" s="419"/>
      <c r="K74" s="420"/>
      <c r="L74" s="421"/>
      <c r="M74" s="421"/>
      <c r="N74" s="421"/>
      <c r="O74" s="421"/>
      <c r="P74" s="421"/>
      <c r="Q74" s="421"/>
      <c r="R74" s="421"/>
      <c r="S74" s="421"/>
      <c r="T74" s="421"/>
      <c r="U74" s="421"/>
      <c r="V74" s="421"/>
      <c r="W74" s="421"/>
      <c r="X74" s="421"/>
      <c r="Y74" s="421"/>
      <c r="Z74" s="421"/>
      <c r="AA74" s="421"/>
      <c r="AB74" s="421"/>
      <c r="AC74" s="421"/>
      <c r="AD74" s="421"/>
      <c r="AE74" s="421"/>
      <c r="AF74" s="421"/>
      <c r="AG74" s="421"/>
      <c r="AH74" s="421"/>
      <c r="AI74" s="421"/>
      <c r="AJ74" s="766"/>
    </row>
    <row r="75" spans="1:36" s="422" customFormat="1" ht="14">
      <c r="A75" s="410">
        <v>7</v>
      </c>
      <c r="B75" s="103"/>
      <c r="C75" s="104"/>
      <c r="D75" s="104"/>
      <c r="E75" s="104"/>
      <c r="F75" s="663" t="s">
        <v>195</v>
      </c>
      <c r="H75" s="162"/>
      <c r="I75" s="162"/>
      <c r="J75" s="128"/>
      <c r="K75" s="208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17"/>
      <c r="AG75" s="217"/>
      <c r="AH75" s="217"/>
      <c r="AI75" s="217"/>
      <c r="AJ75" s="764"/>
    </row>
    <row r="76" spans="1:36" ht="14">
      <c r="A76" s="410"/>
      <c r="B76" s="410"/>
      <c r="C76" s="411">
        <v>1</v>
      </c>
      <c r="D76" s="411"/>
      <c r="E76" s="411"/>
      <c r="F76" s="412"/>
      <c r="G76" s="36"/>
      <c r="H76" s="162" t="s">
        <v>35</v>
      </c>
      <c r="I76" s="162"/>
      <c r="J76" s="128"/>
      <c r="K76" s="208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764"/>
    </row>
    <row r="77" spans="1:36" ht="14">
      <c r="A77" s="410"/>
      <c r="B77" s="410"/>
      <c r="C77" s="411"/>
      <c r="D77" s="411">
        <v>1</v>
      </c>
      <c r="E77" s="411" t="s">
        <v>199</v>
      </c>
      <c r="F77" s="412"/>
      <c r="G77" s="36"/>
      <c r="H77" s="162"/>
      <c r="I77" s="162" t="s">
        <v>180</v>
      </c>
      <c r="J77" s="128">
        <v>393689437</v>
      </c>
      <c r="K77" s="208"/>
      <c r="L77" s="217">
        <f t="shared" ref="L77:L85" si="64">SUM(J77:K77)</f>
        <v>393689437</v>
      </c>
      <c r="M77" s="217">
        <v>36838563</v>
      </c>
      <c r="N77" s="217"/>
      <c r="O77" s="217"/>
      <c r="P77" s="217"/>
      <c r="Q77" s="217">
        <v>22520659</v>
      </c>
      <c r="R77" s="217">
        <v>4023641</v>
      </c>
      <c r="S77" s="217">
        <f t="shared" ref="S77:S86" si="65">SUM(M77:R77)</f>
        <v>63382863</v>
      </c>
      <c r="T77" s="217">
        <f t="shared" ref="T77:T86" si="66">S77+L77</f>
        <v>457072300</v>
      </c>
      <c r="U77" s="217">
        <v>5565300</v>
      </c>
      <c r="V77" s="217">
        <v>6032773</v>
      </c>
      <c r="W77" s="217"/>
      <c r="X77" s="217">
        <v>11784121</v>
      </c>
      <c r="Y77" s="217">
        <v>5777548</v>
      </c>
      <c r="Z77" s="217">
        <f t="shared" ref="Z77:Z83" si="67">SUM(U77:Y77)</f>
        <v>29159742</v>
      </c>
      <c r="AA77" s="217">
        <f t="shared" ref="AA77:AA83" si="68">Z77+T77</f>
        <v>486232042</v>
      </c>
      <c r="AB77" s="217"/>
      <c r="AC77" s="217">
        <f>2700000+6119433</f>
        <v>8819433</v>
      </c>
      <c r="AD77" s="217"/>
      <c r="AE77" s="217">
        <f>200000+789599+11692530+785610</f>
        <v>13467739</v>
      </c>
      <c r="AF77" s="217">
        <f>3192802+996172+2186888</f>
        <v>6375862</v>
      </c>
      <c r="AG77" s="217">
        <f>SUM(AB77:AF77)</f>
        <v>28663034</v>
      </c>
      <c r="AH77" s="217">
        <f>AG77+AA77</f>
        <v>514895076</v>
      </c>
      <c r="AI77" s="217">
        <v>488349987</v>
      </c>
      <c r="AJ77" s="764">
        <f t="shared" ref="AJ77:AJ85" si="69">AI77/AH77*100</f>
        <v>94.844563438784959</v>
      </c>
    </row>
    <row r="78" spans="1:36" ht="14">
      <c r="A78" s="410"/>
      <c r="B78" s="410"/>
      <c r="C78" s="411"/>
      <c r="D78" s="411">
        <v>1</v>
      </c>
      <c r="E78" s="411" t="s">
        <v>198</v>
      </c>
      <c r="F78" s="412"/>
      <c r="G78" s="36"/>
      <c r="H78" s="162"/>
      <c r="I78" s="162" t="s">
        <v>180</v>
      </c>
      <c r="J78" s="128">
        <v>2508000</v>
      </c>
      <c r="K78" s="208"/>
      <c r="L78" s="217">
        <f t="shared" si="64"/>
        <v>2508000</v>
      </c>
      <c r="M78" s="217">
        <v>1575240</v>
      </c>
      <c r="N78" s="217"/>
      <c r="O78" s="217"/>
      <c r="P78" s="217"/>
      <c r="Q78" s="217"/>
      <c r="R78" s="217"/>
      <c r="S78" s="217">
        <f t="shared" si="65"/>
        <v>1575240</v>
      </c>
      <c r="T78" s="217">
        <f t="shared" si="66"/>
        <v>4083240</v>
      </c>
      <c r="U78" s="217"/>
      <c r="V78" s="217"/>
      <c r="W78" s="217"/>
      <c r="X78" s="217"/>
      <c r="Y78" s="217">
        <v>287350</v>
      </c>
      <c r="Z78" s="217">
        <f t="shared" si="67"/>
        <v>287350</v>
      </c>
      <c r="AA78" s="217">
        <f t="shared" si="68"/>
        <v>4370590</v>
      </c>
      <c r="AB78" s="217"/>
      <c r="AC78" s="217"/>
      <c r="AD78" s="217"/>
      <c r="AE78" s="217"/>
      <c r="AF78" s="217">
        <v>245713</v>
      </c>
      <c r="AG78" s="217">
        <f t="shared" ref="AG78:AG86" si="70">SUM(AB78:AF78)</f>
        <v>245713</v>
      </c>
      <c r="AH78" s="217">
        <f t="shared" ref="AH78:AH86" si="71">AG78+AA78</f>
        <v>4616303</v>
      </c>
      <c r="AI78" s="217">
        <v>3726972</v>
      </c>
      <c r="AJ78" s="764">
        <f t="shared" si="69"/>
        <v>80.734995081562019</v>
      </c>
    </row>
    <row r="79" spans="1:36" ht="14">
      <c r="A79" s="410"/>
      <c r="B79" s="410"/>
      <c r="C79" s="411"/>
      <c r="D79" s="411">
        <v>2</v>
      </c>
      <c r="E79" s="411" t="s">
        <v>199</v>
      </c>
      <c r="F79" s="412"/>
      <c r="G79" s="36"/>
      <c r="H79" s="162"/>
      <c r="I79" s="162" t="s">
        <v>182</v>
      </c>
      <c r="J79" s="128">
        <v>85409104</v>
      </c>
      <c r="K79" s="208"/>
      <c r="L79" s="217">
        <f>SUM(J79:K79)</f>
        <v>85409104</v>
      </c>
      <c r="M79" s="217">
        <v>10375658</v>
      </c>
      <c r="N79" s="217"/>
      <c r="O79" s="217"/>
      <c r="P79" s="217"/>
      <c r="Q79" s="217">
        <v>4483214</v>
      </c>
      <c r="R79" s="217">
        <v>474575</v>
      </c>
      <c r="S79" s="217">
        <f t="shared" si="65"/>
        <v>15333447</v>
      </c>
      <c r="T79" s="217">
        <f t="shared" si="66"/>
        <v>100742551</v>
      </c>
      <c r="U79" s="217">
        <v>1057154</v>
      </c>
      <c r="V79" s="217">
        <v>1200982</v>
      </c>
      <c r="W79" s="217"/>
      <c r="X79" s="217">
        <v>2297904</v>
      </c>
      <c r="Y79" s="217">
        <v>549236</v>
      </c>
      <c r="Z79" s="217">
        <f t="shared" si="67"/>
        <v>5105276</v>
      </c>
      <c r="AA79" s="217">
        <f t="shared" si="68"/>
        <v>105847827</v>
      </c>
      <c r="AB79" s="217"/>
      <c r="AC79" s="217">
        <f>1193289-2700000</f>
        <v>-1506711</v>
      </c>
      <c r="AD79" s="217"/>
      <c r="AE79" s="217">
        <f>2280043+39000+153972+153194</f>
        <v>2626209</v>
      </c>
      <c r="AF79" s="217">
        <f>108433+95740+130281</f>
        <v>334454</v>
      </c>
      <c r="AG79" s="217">
        <f t="shared" si="70"/>
        <v>1453952</v>
      </c>
      <c r="AH79" s="217">
        <f t="shared" si="71"/>
        <v>107301779</v>
      </c>
      <c r="AI79" s="217">
        <v>100388376</v>
      </c>
      <c r="AJ79" s="764">
        <f t="shared" si="69"/>
        <v>93.557047176263495</v>
      </c>
    </row>
    <row r="80" spans="1:36" ht="14">
      <c r="A80" s="410"/>
      <c r="B80" s="410"/>
      <c r="C80" s="411"/>
      <c r="D80" s="411">
        <v>2</v>
      </c>
      <c r="E80" s="411" t="s">
        <v>198</v>
      </c>
      <c r="F80" s="412"/>
      <c r="G80" s="36"/>
      <c r="H80" s="162"/>
      <c r="I80" s="162" t="s">
        <v>182</v>
      </c>
      <c r="J80" s="128">
        <v>138060</v>
      </c>
      <c r="K80" s="208"/>
      <c r="L80" s="217">
        <f>SUM(J80:K80)</f>
        <v>138060</v>
      </c>
      <c r="M80" s="217">
        <v>338888</v>
      </c>
      <c r="N80" s="217"/>
      <c r="O80" s="217"/>
      <c r="P80" s="217"/>
      <c r="Q80" s="217"/>
      <c r="R80" s="217"/>
      <c r="S80" s="217">
        <f t="shared" si="65"/>
        <v>338888</v>
      </c>
      <c r="T80" s="217">
        <f t="shared" si="66"/>
        <v>476948</v>
      </c>
      <c r="U80" s="217"/>
      <c r="V80" s="217"/>
      <c r="W80" s="217"/>
      <c r="X80" s="217"/>
      <c r="Y80" s="217"/>
      <c r="Z80" s="217">
        <f t="shared" si="67"/>
        <v>0</v>
      </c>
      <c r="AA80" s="217">
        <f t="shared" si="68"/>
        <v>476948</v>
      </c>
      <c r="AB80" s="217"/>
      <c r="AC80" s="217"/>
      <c r="AD80" s="217"/>
      <c r="AE80" s="217"/>
      <c r="AF80" s="217">
        <v>17692</v>
      </c>
      <c r="AG80" s="217">
        <f t="shared" si="70"/>
        <v>17692</v>
      </c>
      <c r="AH80" s="217">
        <f t="shared" si="71"/>
        <v>494640</v>
      </c>
      <c r="AI80" s="217">
        <v>386394</v>
      </c>
      <c r="AJ80" s="764">
        <f t="shared" si="69"/>
        <v>78.116205725376034</v>
      </c>
    </row>
    <row r="81" spans="1:36" ht="14">
      <c r="A81" s="410"/>
      <c r="B81" s="410"/>
      <c r="C81" s="411"/>
      <c r="D81" s="411">
        <v>3</v>
      </c>
      <c r="E81" s="411" t="s">
        <v>199</v>
      </c>
      <c r="F81" s="412"/>
      <c r="G81" s="36"/>
      <c r="H81" s="162"/>
      <c r="I81" s="162" t="s">
        <v>116</v>
      </c>
      <c r="J81" s="128">
        <v>191967852</v>
      </c>
      <c r="K81" s="208"/>
      <c r="L81" s="217">
        <f>SUM(J81:K81)</f>
        <v>191967852</v>
      </c>
      <c r="M81" s="217">
        <v>28656259</v>
      </c>
      <c r="N81" s="217"/>
      <c r="O81" s="217">
        <v>-359622</v>
      </c>
      <c r="P81" s="217"/>
      <c r="Q81" s="217"/>
      <c r="R81" s="217"/>
      <c r="S81" s="217">
        <f t="shared" si="65"/>
        <v>28296637</v>
      </c>
      <c r="T81" s="217">
        <f t="shared" si="66"/>
        <v>220264489</v>
      </c>
      <c r="U81" s="217">
        <v>1203428</v>
      </c>
      <c r="V81" s="217">
        <v>437329</v>
      </c>
      <c r="W81" s="217"/>
      <c r="X81" s="217"/>
      <c r="Y81" s="217"/>
      <c r="Z81" s="217">
        <f t="shared" si="67"/>
        <v>1640757</v>
      </c>
      <c r="AA81" s="217">
        <f t="shared" si="68"/>
        <v>221905246</v>
      </c>
      <c r="AB81" s="217"/>
      <c r="AC81" s="217">
        <f>-2700000+390876+528315</f>
        <v>-1780809</v>
      </c>
      <c r="AD81" s="217"/>
      <c r="AE81" s="217"/>
      <c r="AF81" s="217">
        <f>3800000</f>
        <v>3800000</v>
      </c>
      <c r="AG81" s="217">
        <f t="shared" si="70"/>
        <v>2019191</v>
      </c>
      <c r="AH81" s="217">
        <f t="shared" si="71"/>
        <v>223924437</v>
      </c>
      <c r="AI81" s="217">
        <v>203540428</v>
      </c>
      <c r="AJ81" s="764">
        <f t="shared" si="69"/>
        <v>90.89692519803009</v>
      </c>
    </row>
    <row r="82" spans="1:36" ht="14">
      <c r="A82" s="410"/>
      <c r="B82" s="410"/>
      <c r="C82" s="411"/>
      <c r="D82" s="411">
        <v>3</v>
      </c>
      <c r="E82" s="411" t="s">
        <v>198</v>
      </c>
      <c r="F82" s="412"/>
      <c r="G82" s="36"/>
      <c r="H82" s="162"/>
      <c r="I82" s="162" t="s">
        <v>116</v>
      </c>
      <c r="J82" s="128"/>
      <c r="K82" s="208"/>
      <c r="L82" s="217">
        <f>SUM(J82:K82)</f>
        <v>0</v>
      </c>
      <c r="M82" s="217">
        <v>2726227</v>
      </c>
      <c r="N82" s="217"/>
      <c r="O82" s="217"/>
      <c r="P82" s="217"/>
      <c r="Q82" s="217"/>
      <c r="R82" s="217"/>
      <c r="S82" s="217">
        <f t="shared" si="65"/>
        <v>2726227</v>
      </c>
      <c r="T82" s="217">
        <f t="shared" si="66"/>
        <v>2726227</v>
      </c>
      <c r="U82" s="217"/>
      <c r="V82" s="217"/>
      <c r="W82" s="217"/>
      <c r="X82" s="217"/>
      <c r="Y82" s="217"/>
      <c r="Z82" s="217">
        <f t="shared" si="67"/>
        <v>0</v>
      </c>
      <c r="AA82" s="217">
        <f t="shared" si="68"/>
        <v>2726227</v>
      </c>
      <c r="AB82" s="217"/>
      <c r="AC82" s="217"/>
      <c r="AD82" s="217"/>
      <c r="AE82" s="217"/>
      <c r="AF82" s="217"/>
      <c r="AG82" s="217">
        <f t="shared" si="70"/>
        <v>0</v>
      </c>
      <c r="AH82" s="217">
        <f t="shared" si="71"/>
        <v>2726227</v>
      </c>
      <c r="AI82" s="217">
        <v>2726227</v>
      </c>
      <c r="AJ82" s="764">
        <f t="shared" si="69"/>
        <v>100</v>
      </c>
    </row>
    <row r="83" spans="1:36" ht="14">
      <c r="A83" s="423"/>
      <c r="B83" s="423"/>
      <c r="C83" s="424"/>
      <c r="D83" s="424">
        <v>5</v>
      </c>
      <c r="E83" s="424" t="s">
        <v>199</v>
      </c>
      <c r="F83" s="425"/>
      <c r="G83" s="36"/>
      <c r="H83" s="162"/>
      <c r="I83" s="162" t="s">
        <v>615</v>
      </c>
      <c r="J83" s="217"/>
      <c r="K83" s="426"/>
      <c r="L83" s="217"/>
      <c r="M83" s="217"/>
      <c r="N83" s="217"/>
      <c r="O83" s="217">
        <v>359622</v>
      </c>
      <c r="P83" s="217"/>
      <c r="Q83" s="217"/>
      <c r="R83" s="217"/>
      <c r="S83" s="217">
        <f t="shared" ref="S83" si="72">SUM(M83:R83)</f>
        <v>359622</v>
      </c>
      <c r="T83" s="217">
        <f t="shared" ref="T83" si="73">S83+L83</f>
        <v>359622</v>
      </c>
      <c r="U83" s="217"/>
      <c r="V83" s="217">
        <v>445503</v>
      </c>
      <c r="W83" s="217"/>
      <c r="X83" s="217"/>
      <c r="Y83" s="217"/>
      <c r="Z83" s="217">
        <f t="shared" si="67"/>
        <v>445503</v>
      </c>
      <c r="AA83" s="217">
        <f t="shared" si="68"/>
        <v>805125</v>
      </c>
      <c r="AB83" s="217"/>
      <c r="AC83" s="217"/>
      <c r="AD83" s="217"/>
      <c r="AE83" s="217"/>
      <c r="AF83" s="217"/>
      <c r="AG83" s="217">
        <f t="shared" si="70"/>
        <v>0</v>
      </c>
      <c r="AH83" s="217">
        <f t="shared" si="71"/>
        <v>805125</v>
      </c>
      <c r="AI83" s="217">
        <v>805125</v>
      </c>
      <c r="AJ83" s="764">
        <f t="shared" si="69"/>
        <v>100</v>
      </c>
    </row>
    <row r="84" spans="1:36" ht="15" customHeight="1">
      <c r="A84" s="410"/>
      <c r="B84" s="410"/>
      <c r="C84" s="411">
        <v>2</v>
      </c>
      <c r="D84" s="411"/>
      <c r="E84" s="411"/>
      <c r="F84" s="412"/>
      <c r="G84" s="36"/>
      <c r="H84" s="162" t="s">
        <v>211</v>
      </c>
      <c r="I84" s="162"/>
      <c r="J84" s="128"/>
      <c r="K84" s="208"/>
      <c r="L84" s="217"/>
      <c r="M84" s="217"/>
      <c r="N84" s="217"/>
      <c r="O84" s="217"/>
      <c r="P84" s="217"/>
      <c r="Q84" s="217"/>
      <c r="R84" s="217"/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17"/>
      <c r="AG84" s="217"/>
      <c r="AH84" s="217"/>
      <c r="AI84" s="217"/>
      <c r="AJ84" s="764"/>
    </row>
    <row r="85" spans="1:36" ht="15" customHeight="1">
      <c r="A85" s="410"/>
      <c r="B85" s="410"/>
      <c r="C85" s="411"/>
      <c r="D85" s="411">
        <v>6</v>
      </c>
      <c r="E85" s="411" t="s">
        <v>199</v>
      </c>
      <c r="F85" s="412"/>
      <c r="G85" s="36"/>
      <c r="H85" s="162"/>
      <c r="I85" s="162" t="s">
        <v>213</v>
      </c>
      <c r="J85" s="128"/>
      <c r="K85" s="208">
        <v>10000000</v>
      </c>
      <c r="L85" s="217">
        <f t="shared" si="64"/>
        <v>10000000</v>
      </c>
      <c r="M85" s="217">
        <v>6121620</v>
      </c>
      <c r="N85" s="217"/>
      <c r="O85" s="217"/>
      <c r="P85" s="217"/>
      <c r="Q85" s="217"/>
      <c r="R85" s="217"/>
      <c r="S85" s="217">
        <f t="shared" si="65"/>
        <v>6121620</v>
      </c>
      <c r="T85" s="217">
        <f t="shared" si="66"/>
        <v>16121620</v>
      </c>
      <c r="U85" s="217">
        <v>8178800</v>
      </c>
      <c r="V85" s="217"/>
      <c r="W85" s="217"/>
      <c r="X85" s="217"/>
      <c r="Y85" s="217"/>
      <c r="Z85" s="217">
        <f>SUM(U85:Y85)</f>
        <v>8178800</v>
      </c>
      <c r="AA85" s="217">
        <f>Z85+T85</f>
        <v>24300420</v>
      </c>
      <c r="AB85" s="217"/>
      <c r="AC85" s="217">
        <v>2700000</v>
      </c>
      <c r="AD85" s="217"/>
      <c r="AE85" s="217"/>
      <c r="AF85" s="217"/>
      <c r="AG85" s="217">
        <f t="shared" si="70"/>
        <v>2700000</v>
      </c>
      <c r="AH85" s="217">
        <f t="shared" si="71"/>
        <v>27000420</v>
      </c>
      <c r="AI85" s="217">
        <v>25325268</v>
      </c>
      <c r="AJ85" s="764">
        <f t="shared" si="69"/>
        <v>93.795829842646896</v>
      </c>
    </row>
    <row r="86" spans="1:36" ht="15" customHeight="1">
      <c r="A86" s="410"/>
      <c r="B86" s="410"/>
      <c r="C86" s="411"/>
      <c r="D86" s="411">
        <v>7</v>
      </c>
      <c r="E86" s="411" t="s">
        <v>199</v>
      </c>
      <c r="F86" s="431"/>
      <c r="G86" s="36"/>
      <c r="H86" s="162"/>
      <c r="I86" s="162" t="s">
        <v>214</v>
      </c>
      <c r="J86" s="128"/>
      <c r="K86" s="208"/>
      <c r="L86" s="217"/>
      <c r="M86" s="217">
        <v>689654</v>
      </c>
      <c r="N86" s="217"/>
      <c r="O86" s="217"/>
      <c r="P86" s="217"/>
      <c r="Q86" s="217"/>
      <c r="R86" s="217"/>
      <c r="S86" s="217">
        <f t="shared" si="65"/>
        <v>689654</v>
      </c>
      <c r="T86" s="217">
        <f t="shared" si="66"/>
        <v>689654</v>
      </c>
      <c r="U86" s="217"/>
      <c r="V86" s="217"/>
      <c r="W86" s="217"/>
      <c r="X86" s="217"/>
      <c r="Y86" s="217"/>
      <c r="Z86" s="217">
        <f>SUM(U86:Y86)</f>
        <v>0</v>
      </c>
      <c r="AA86" s="217">
        <f>Z86+T86</f>
        <v>689654</v>
      </c>
      <c r="AB86" s="217"/>
      <c r="AC86" s="217"/>
      <c r="AD86" s="217"/>
      <c r="AE86" s="217"/>
      <c r="AF86" s="217"/>
      <c r="AG86" s="217">
        <f t="shared" si="70"/>
        <v>0</v>
      </c>
      <c r="AH86" s="217">
        <f t="shared" si="71"/>
        <v>689654</v>
      </c>
      <c r="AI86" s="217">
        <v>689654</v>
      </c>
      <c r="AJ86" s="764">
        <f t="shared" ref="AJ86" si="74">AI86/AH86*100</f>
        <v>100</v>
      </c>
    </row>
    <row r="87" spans="1:36" ht="13.5" customHeight="1">
      <c r="A87" s="410"/>
      <c r="B87" s="410"/>
      <c r="C87" s="411"/>
      <c r="D87" s="411"/>
      <c r="E87" s="411"/>
      <c r="F87" s="412"/>
      <c r="G87" s="36"/>
      <c r="H87" s="162"/>
      <c r="I87" s="162"/>
      <c r="J87" s="128"/>
      <c r="K87" s="208"/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17"/>
      <c r="AG87" s="217"/>
      <c r="AH87" s="217"/>
      <c r="AI87" s="217"/>
      <c r="AJ87" s="764"/>
    </row>
    <row r="88" spans="1:36" ht="13.5" customHeight="1">
      <c r="A88" s="410"/>
      <c r="B88" s="410"/>
      <c r="C88" s="411"/>
      <c r="D88" s="411"/>
      <c r="E88" s="411"/>
      <c r="F88" s="413" t="s">
        <v>37</v>
      </c>
      <c r="G88" s="413"/>
      <c r="H88" s="414"/>
      <c r="I88" s="413"/>
      <c r="J88" s="415">
        <f>SUM(J77:J85)</f>
        <v>673712453</v>
      </c>
      <c r="K88" s="416">
        <f>SUM(K77:K85)</f>
        <v>10000000</v>
      </c>
      <c r="L88" s="415">
        <f>SUM(L77:L85)</f>
        <v>683712453</v>
      </c>
      <c r="M88" s="415">
        <f>SUM(M77:M86)</f>
        <v>87322109</v>
      </c>
      <c r="N88" s="415"/>
      <c r="O88" s="415"/>
      <c r="P88" s="415">
        <f t="shared" ref="P88:S88" si="75">SUM(P77:P87)</f>
        <v>0</v>
      </c>
      <c r="Q88" s="415">
        <f t="shared" si="75"/>
        <v>27003873</v>
      </c>
      <c r="R88" s="415">
        <f t="shared" si="75"/>
        <v>4498216</v>
      </c>
      <c r="S88" s="415">
        <f t="shared" si="75"/>
        <v>118824198</v>
      </c>
      <c r="T88" s="415">
        <f>SUM(T77:T87)</f>
        <v>802536651</v>
      </c>
      <c r="U88" s="415">
        <f t="shared" ref="U88:V88" si="76">SUM(U77:U87)</f>
        <v>16004682</v>
      </c>
      <c r="V88" s="415">
        <f t="shared" si="76"/>
        <v>8116587</v>
      </c>
      <c r="W88" s="415"/>
      <c r="X88" s="415">
        <f t="shared" ref="X88:Z88" si="77">SUM(X77:X87)</f>
        <v>14082025</v>
      </c>
      <c r="Y88" s="415">
        <f t="shared" si="77"/>
        <v>6614134</v>
      </c>
      <c r="Z88" s="415">
        <f t="shared" si="77"/>
        <v>44817428</v>
      </c>
      <c r="AA88" s="415">
        <f>SUM(AA77:AA87)</f>
        <v>847354079</v>
      </c>
      <c r="AB88" s="415">
        <f t="shared" ref="AB88:AC88" si="78">SUM(AB77:AB87)</f>
        <v>0</v>
      </c>
      <c r="AC88" s="415">
        <f t="shared" si="78"/>
        <v>8231913</v>
      </c>
      <c r="AD88" s="415"/>
      <c r="AE88" s="415">
        <f t="shared" ref="AE88:AG88" si="79">SUM(AE77:AE87)</f>
        <v>16093948</v>
      </c>
      <c r="AF88" s="415">
        <f t="shared" si="79"/>
        <v>10773721</v>
      </c>
      <c r="AG88" s="415">
        <f t="shared" si="79"/>
        <v>35099582</v>
      </c>
      <c r="AH88" s="415">
        <f>SUM(AH77:AH87)</f>
        <v>882453661</v>
      </c>
      <c r="AI88" s="415">
        <f>SUM(AI77:AI87)</f>
        <v>825938431</v>
      </c>
      <c r="AJ88" s="765">
        <f>AI88/AH88*100</f>
        <v>93.595671648530896</v>
      </c>
    </row>
    <row r="89" spans="1:36" ht="13.5" customHeight="1">
      <c r="A89" s="410"/>
      <c r="B89" s="410"/>
      <c r="C89" s="411"/>
      <c r="D89" s="411"/>
      <c r="E89" s="411"/>
      <c r="F89" s="417"/>
      <c r="G89" s="417"/>
      <c r="H89" s="418"/>
      <c r="I89" s="417"/>
      <c r="J89" s="419"/>
      <c r="K89" s="420"/>
      <c r="L89" s="421"/>
      <c r="M89" s="421"/>
      <c r="N89" s="421"/>
      <c r="O89" s="421"/>
      <c r="P89" s="421"/>
      <c r="Q89" s="421"/>
      <c r="R89" s="421"/>
      <c r="S89" s="421"/>
      <c r="T89" s="421"/>
      <c r="U89" s="421"/>
      <c r="V89" s="421"/>
      <c r="W89" s="421"/>
      <c r="X89" s="421"/>
      <c r="Y89" s="421"/>
      <c r="Z89" s="421"/>
      <c r="AA89" s="421"/>
      <c r="AB89" s="421"/>
      <c r="AC89" s="421"/>
      <c r="AD89" s="421"/>
      <c r="AE89" s="421"/>
      <c r="AF89" s="421"/>
      <c r="AG89" s="421"/>
      <c r="AH89" s="421"/>
      <c r="AI89" s="421"/>
      <c r="AJ89" s="766"/>
    </row>
    <row r="90" spans="1:36" s="422" customFormat="1" ht="13.5" customHeight="1">
      <c r="A90" s="410">
        <v>8</v>
      </c>
      <c r="B90" s="103"/>
      <c r="C90" s="104"/>
      <c r="D90" s="104"/>
      <c r="E90" s="104"/>
      <c r="F90" s="663" t="s">
        <v>164</v>
      </c>
      <c r="H90" s="162"/>
      <c r="I90" s="162"/>
      <c r="J90" s="128"/>
      <c r="K90" s="208"/>
      <c r="L90" s="217"/>
      <c r="M90" s="217"/>
      <c r="N90" s="217"/>
      <c r="O90" s="217"/>
      <c r="P90" s="217"/>
      <c r="Q90" s="217"/>
      <c r="R90" s="217"/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17"/>
      <c r="AG90" s="217"/>
      <c r="AH90" s="217"/>
      <c r="AI90" s="217"/>
      <c r="AJ90" s="764"/>
    </row>
    <row r="91" spans="1:36" ht="13.5" customHeight="1">
      <c r="A91" s="410"/>
      <c r="B91" s="410"/>
      <c r="C91" s="411">
        <v>1</v>
      </c>
      <c r="D91" s="411"/>
      <c r="E91" s="411"/>
      <c r="F91" s="412"/>
      <c r="G91" s="36"/>
      <c r="H91" s="162" t="s">
        <v>35</v>
      </c>
      <c r="I91" s="162"/>
      <c r="J91" s="128"/>
      <c r="K91" s="208"/>
      <c r="L91" s="217"/>
      <c r="M91" s="217"/>
      <c r="N91" s="217"/>
      <c r="O91" s="217"/>
      <c r="P91" s="217"/>
      <c r="Q91" s="217"/>
      <c r="R91" s="217"/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17"/>
      <c r="AG91" s="217"/>
      <c r="AH91" s="217"/>
      <c r="AI91" s="217"/>
      <c r="AJ91" s="764"/>
    </row>
    <row r="92" spans="1:36" ht="13.5" customHeight="1">
      <c r="A92" s="410"/>
      <c r="B92" s="410"/>
      <c r="C92" s="411"/>
      <c r="D92" s="411">
        <v>1</v>
      </c>
      <c r="E92" s="411" t="s">
        <v>199</v>
      </c>
      <c r="F92" s="412"/>
      <c r="G92" s="36"/>
      <c r="H92" s="162"/>
      <c r="I92" s="162" t="s">
        <v>180</v>
      </c>
      <c r="J92" s="128">
        <v>338132504</v>
      </c>
      <c r="K92" s="208"/>
      <c r="L92" s="217">
        <f>SUM(J92:K92)</f>
        <v>338132504</v>
      </c>
      <c r="M92" s="217">
        <v>9962766</v>
      </c>
      <c r="N92" s="217"/>
      <c r="O92" s="217"/>
      <c r="P92" s="217"/>
      <c r="Q92" s="217">
        <v>12235887</v>
      </c>
      <c r="R92" s="217">
        <v>10739316</v>
      </c>
      <c r="S92" s="217">
        <f t="shared" ref="S92:S97" si="80">SUM(M92:R92)</f>
        <v>32937969</v>
      </c>
      <c r="T92" s="217">
        <f t="shared" ref="T92:T97" si="81">S92+L92</f>
        <v>371070473</v>
      </c>
      <c r="U92" s="217"/>
      <c r="V92" s="217"/>
      <c r="W92" s="217"/>
      <c r="X92" s="217">
        <v>5825075</v>
      </c>
      <c r="Y92" s="217">
        <v>700000</v>
      </c>
      <c r="Z92" s="217">
        <f t="shared" ref="Z92:Z97" si="82">SUM(U92:Y92)</f>
        <v>6525075</v>
      </c>
      <c r="AA92" s="217">
        <f>Z92+T92</f>
        <v>377595548</v>
      </c>
      <c r="AB92" s="217"/>
      <c r="AC92" s="217">
        <v>1312128</v>
      </c>
      <c r="AD92" s="217"/>
      <c r="AE92" s="217">
        <f>747464+5185100+496125</f>
        <v>6428689</v>
      </c>
      <c r="AF92" s="217">
        <v>1000000</v>
      </c>
      <c r="AG92" s="217">
        <f>SUM(AB92:AF92)</f>
        <v>8740817</v>
      </c>
      <c r="AH92" s="217">
        <f>AG92+AA92</f>
        <v>386336365</v>
      </c>
      <c r="AI92" s="217">
        <v>372707665</v>
      </c>
      <c r="AJ92" s="764">
        <f t="shared" ref="AJ92:AJ96" si="83">AI92/AH92*100</f>
        <v>96.472322764645781</v>
      </c>
    </row>
    <row r="93" spans="1:36" ht="13.5" customHeight="1">
      <c r="A93" s="410"/>
      <c r="B93" s="410"/>
      <c r="C93" s="411"/>
      <c r="D93" s="411">
        <v>2</v>
      </c>
      <c r="E93" s="411" t="s">
        <v>199</v>
      </c>
      <c r="F93" s="412"/>
      <c r="G93" s="36"/>
      <c r="H93" s="162"/>
      <c r="I93" s="162" t="s">
        <v>182</v>
      </c>
      <c r="J93" s="128">
        <v>70078243</v>
      </c>
      <c r="K93" s="208"/>
      <c r="L93" s="217">
        <f>SUM(J93:K93)</f>
        <v>70078243</v>
      </c>
      <c r="M93" s="217">
        <v>3513336</v>
      </c>
      <c r="N93" s="217"/>
      <c r="O93" s="217"/>
      <c r="P93" s="217"/>
      <c r="Q93" s="217">
        <v>2437761</v>
      </c>
      <c r="R93" s="217">
        <v>2713597</v>
      </c>
      <c r="S93" s="217">
        <f t="shared" si="80"/>
        <v>8664694</v>
      </c>
      <c r="T93" s="217">
        <f t="shared" si="81"/>
        <v>78742937</v>
      </c>
      <c r="U93" s="217"/>
      <c r="V93" s="217"/>
      <c r="W93" s="217"/>
      <c r="X93" s="217">
        <v>1135889</v>
      </c>
      <c r="Y93" s="217">
        <v>136500</v>
      </c>
      <c r="Z93" s="217">
        <f t="shared" si="82"/>
        <v>1272389</v>
      </c>
      <c r="AA93" s="217">
        <f>Z93+T93</f>
        <v>80015326</v>
      </c>
      <c r="AB93" s="217"/>
      <c r="AC93" s="217">
        <v>876909</v>
      </c>
      <c r="AD93" s="217"/>
      <c r="AE93" s="217">
        <f>145755+1011095+96744</f>
        <v>1253594</v>
      </c>
      <c r="AF93" s="217">
        <v>195000</v>
      </c>
      <c r="AG93" s="217">
        <f t="shared" ref="AG93:AG97" si="84">SUM(AB93:AF93)</f>
        <v>2325503</v>
      </c>
      <c r="AH93" s="217">
        <f t="shared" ref="AH93:AH97" si="85">AG93+AA93</f>
        <v>82340829</v>
      </c>
      <c r="AI93" s="217">
        <v>78866093</v>
      </c>
      <c r="AJ93" s="764">
        <f t="shared" si="83"/>
        <v>95.780057060149346</v>
      </c>
    </row>
    <row r="94" spans="1:36" ht="13.5" customHeight="1">
      <c r="A94" s="410"/>
      <c r="B94" s="410"/>
      <c r="C94" s="411"/>
      <c r="D94" s="411">
        <v>3</v>
      </c>
      <c r="E94" s="411" t="s">
        <v>199</v>
      </c>
      <c r="F94" s="412"/>
      <c r="G94" s="36"/>
      <c r="H94" s="162"/>
      <c r="I94" s="162" t="s">
        <v>116</v>
      </c>
      <c r="J94" s="128">
        <v>212051000</v>
      </c>
      <c r="K94" s="208"/>
      <c r="L94" s="217">
        <f>SUM(J94:K94)</f>
        <v>212051000</v>
      </c>
      <c r="M94" s="217">
        <v>2737484</v>
      </c>
      <c r="N94" s="217"/>
      <c r="O94" s="217"/>
      <c r="P94" s="217"/>
      <c r="Q94" s="217"/>
      <c r="R94" s="217">
        <v>13957087</v>
      </c>
      <c r="S94" s="217">
        <f t="shared" si="80"/>
        <v>16694571</v>
      </c>
      <c r="T94" s="217">
        <f t="shared" si="81"/>
        <v>228745571</v>
      </c>
      <c r="U94" s="217"/>
      <c r="V94" s="217">
        <v>200000</v>
      </c>
      <c r="W94" s="217"/>
      <c r="X94" s="217"/>
      <c r="Y94" s="217">
        <v>6163500</v>
      </c>
      <c r="Z94" s="217">
        <f t="shared" si="82"/>
        <v>6363500</v>
      </c>
      <c r="AA94" s="217">
        <f>Z94+T94</f>
        <v>235109071</v>
      </c>
      <c r="AB94" s="217"/>
      <c r="AC94" s="217">
        <f>-3500000+18607000</f>
        <v>15107000</v>
      </c>
      <c r="AD94" s="217"/>
      <c r="AE94" s="217"/>
      <c r="AF94" s="217">
        <v>8146988</v>
      </c>
      <c r="AG94" s="217">
        <f t="shared" si="84"/>
        <v>23253988</v>
      </c>
      <c r="AH94" s="217">
        <f t="shared" si="85"/>
        <v>258363059</v>
      </c>
      <c r="AI94" s="217">
        <v>247832012</v>
      </c>
      <c r="AJ94" s="764">
        <f t="shared" si="83"/>
        <v>95.92393469841987</v>
      </c>
    </row>
    <row r="95" spans="1:36" ht="13.5" customHeight="1">
      <c r="A95" s="410"/>
      <c r="B95" s="410"/>
      <c r="C95" s="411">
        <v>2</v>
      </c>
      <c r="D95" s="411"/>
      <c r="E95" s="411"/>
      <c r="F95" s="412"/>
      <c r="G95" s="36"/>
      <c r="H95" s="162" t="s">
        <v>211</v>
      </c>
      <c r="I95" s="162"/>
      <c r="J95" s="128"/>
      <c r="K95" s="208"/>
      <c r="L95" s="217"/>
      <c r="M95" s="217"/>
      <c r="N95" s="217"/>
      <c r="O95" s="217"/>
      <c r="P95" s="217"/>
      <c r="Q95" s="217"/>
      <c r="R95" s="217"/>
      <c r="S95" s="217">
        <f t="shared" si="80"/>
        <v>0</v>
      </c>
      <c r="T95" s="217"/>
      <c r="U95" s="217"/>
      <c r="V95" s="217"/>
      <c r="W95" s="217"/>
      <c r="X95" s="217"/>
      <c r="Y95" s="217"/>
      <c r="Z95" s="217">
        <f t="shared" si="82"/>
        <v>0</v>
      </c>
      <c r="AA95" s="217"/>
      <c r="AB95" s="217"/>
      <c r="AC95" s="217"/>
      <c r="AD95" s="217"/>
      <c r="AE95" s="217"/>
      <c r="AF95" s="217"/>
      <c r="AG95" s="217"/>
      <c r="AH95" s="217"/>
      <c r="AI95" s="217"/>
      <c r="AJ95" s="764"/>
    </row>
    <row r="96" spans="1:36" ht="13.5" customHeight="1">
      <c r="A96" s="410"/>
      <c r="B96" s="410"/>
      <c r="C96" s="411"/>
      <c r="D96" s="411">
        <v>6</v>
      </c>
      <c r="E96" s="411" t="s">
        <v>199</v>
      </c>
      <c r="F96" s="412"/>
      <c r="G96" s="36"/>
      <c r="H96" s="162"/>
      <c r="I96" s="162" t="s">
        <v>213</v>
      </c>
      <c r="J96" s="128"/>
      <c r="K96" s="208">
        <v>22225000</v>
      </c>
      <c r="L96" s="217">
        <f>SUM(J96:K96)</f>
        <v>22225000</v>
      </c>
      <c r="M96" s="217"/>
      <c r="N96" s="217"/>
      <c r="O96" s="217"/>
      <c r="P96" s="217"/>
      <c r="Q96" s="217"/>
      <c r="R96" s="217">
        <v>3000000</v>
      </c>
      <c r="S96" s="217">
        <f t="shared" si="80"/>
        <v>3000000</v>
      </c>
      <c r="T96" s="217">
        <f t="shared" si="81"/>
        <v>25225000</v>
      </c>
      <c r="U96" s="217"/>
      <c r="V96" s="217"/>
      <c r="W96" s="217"/>
      <c r="X96" s="217"/>
      <c r="Y96" s="217"/>
      <c r="Z96" s="217">
        <f t="shared" si="82"/>
        <v>0</v>
      </c>
      <c r="AA96" s="217">
        <f>Z96+T96</f>
        <v>25225000</v>
      </c>
      <c r="AB96" s="217"/>
      <c r="AC96" s="217">
        <f>3500000+1700000+390000</f>
        <v>5590000</v>
      </c>
      <c r="AD96" s="217"/>
      <c r="AE96" s="217"/>
      <c r="AF96" s="217"/>
      <c r="AG96" s="217">
        <f t="shared" si="84"/>
        <v>5590000</v>
      </c>
      <c r="AH96" s="217">
        <f t="shared" si="85"/>
        <v>30815000</v>
      </c>
      <c r="AI96" s="217">
        <v>29568733</v>
      </c>
      <c r="AJ96" s="764">
        <f t="shared" si="83"/>
        <v>95.955648223267886</v>
      </c>
    </row>
    <row r="97" spans="1:36" ht="13.5" customHeight="1">
      <c r="A97" s="410"/>
      <c r="B97" s="410"/>
      <c r="C97" s="411"/>
      <c r="D97" s="411">
        <v>7</v>
      </c>
      <c r="E97" s="411" t="s">
        <v>199</v>
      </c>
      <c r="F97" s="412"/>
      <c r="G97" s="36"/>
      <c r="H97" s="162"/>
      <c r="I97" s="162" t="s">
        <v>214</v>
      </c>
      <c r="J97" s="128"/>
      <c r="K97" s="208"/>
      <c r="L97" s="217">
        <f>SUM(J97:K97)</f>
        <v>0</v>
      </c>
      <c r="M97" s="217"/>
      <c r="N97" s="217"/>
      <c r="O97" s="217"/>
      <c r="P97" s="217"/>
      <c r="Q97" s="217"/>
      <c r="R97" s="217"/>
      <c r="S97" s="217">
        <f t="shared" si="80"/>
        <v>0</v>
      </c>
      <c r="T97" s="217">
        <f t="shared" si="81"/>
        <v>0</v>
      </c>
      <c r="U97" s="217"/>
      <c r="V97" s="217"/>
      <c r="W97" s="217"/>
      <c r="X97" s="217"/>
      <c r="Y97" s="217"/>
      <c r="Z97" s="217">
        <f t="shared" si="82"/>
        <v>0</v>
      </c>
      <c r="AA97" s="217">
        <f>Z97+T97</f>
        <v>0</v>
      </c>
      <c r="AB97" s="217"/>
      <c r="AC97" s="217"/>
      <c r="AD97" s="217"/>
      <c r="AE97" s="217"/>
      <c r="AF97" s="217"/>
      <c r="AG97" s="217">
        <f t="shared" si="84"/>
        <v>0</v>
      </c>
      <c r="AH97" s="217">
        <f t="shared" si="85"/>
        <v>0</v>
      </c>
      <c r="AI97" s="217"/>
      <c r="AJ97" s="764"/>
    </row>
    <row r="98" spans="1:36" ht="13.5" customHeight="1">
      <c r="A98" s="410"/>
      <c r="B98" s="410"/>
      <c r="C98" s="411"/>
      <c r="D98" s="411"/>
      <c r="E98" s="411"/>
      <c r="F98" s="412"/>
      <c r="G98" s="36"/>
      <c r="H98" s="162"/>
      <c r="I98" s="162"/>
      <c r="J98" s="128"/>
      <c r="K98" s="208"/>
      <c r="L98" s="217"/>
      <c r="M98" s="217"/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F98" s="217"/>
      <c r="AG98" s="217"/>
      <c r="AH98" s="217"/>
      <c r="AI98" s="217"/>
      <c r="AJ98" s="764"/>
    </row>
    <row r="99" spans="1:36" ht="13.5" customHeight="1">
      <c r="A99" s="410"/>
      <c r="B99" s="410"/>
      <c r="C99" s="411"/>
      <c r="D99" s="411"/>
      <c r="E99" s="411"/>
      <c r="F99" s="413" t="s">
        <v>37</v>
      </c>
      <c r="G99" s="413"/>
      <c r="H99" s="414"/>
      <c r="I99" s="413"/>
      <c r="J99" s="415">
        <f>SUM(J92:J98)</f>
        <v>620261747</v>
      </c>
      <c r="K99" s="416">
        <f>SUM(K92:K98)</f>
        <v>22225000</v>
      </c>
      <c r="L99" s="415">
        <f>SUM(L92:L98)</f>
        <v>642486747</v>
      </c>
      <c r="M99" s="415">
        <f t="shared" ref="M99" si="86">SUM(M92:M98)</f>
        <v>16213586</v>
      </c>
      <c r="N99" s="415"/>
      <c r="O99" s="415">
        <f t="shared" ref="O99:S99" si="87">SUM(O92:O98)</f>
        <v>0</v>
      </c>
      <c r="P99" s="415">
        <f t="shared" si="87"/>
        <v>0</v>
      </c>
      <c r="Q99" s="415">
        <f t="shared" si="87"/>
        <v>14673648</v>
      </c>
      <c r="R99" s="415">
        <f t="shared" si="87"/>
        <v>30410000</v>
      </c>
      <c r="S99" s="415">
        <f t="shared" si="87"/>
        <v>61297234</v>
      </c>
      <c r="T99" s="415">
        <f>SUM(T92:T98)</f>
        <v>703783981</v>
      </c>
      <c r="U99" s="415"/>
      <c r="V99" s="415">
        <f t="shared" ref="V99:Z99" si="88">SUM(V92:V98)</f>
        <v>200000</v>
      </c>
      <c r="W99" s="415"/>
      <c r="X99" s="415">
        <f t="shared" si="88"/>
        <v>6960964</v>
      </c>
      <c r="Y99" s="415">
        <f t="shared" si="88"/>
        <v>7000000</v>
      </c>
      <c r="Z99" s="415">
        <f t="shared" si="88"/>
        <v>14160964</v>
      </c>
      <c r="AA99" s="415">
        <f>SUM(AA92:AA98)</f>
        <v>717944945</v>
      </c>
      <c r="AB99" s="415"/>
      <c r="AC99" s="415">
        <f t="shared" ref="AC99" si="89">SUM(AC92:AC98)</f>
        <v>22886037</v>
      </c>
      <c r="AD99" s="415"/>
      <c r="AE99" s="415">
        <f t="shared" ref="AE99:AG99" si="90">SUM(AE92:AE98)</f>
        <v>7682283</v>
      </c>
      <c r="AF99" s="415">
        <f t="shared" si="90"/>
        <v>9341988</v>
      </c>
      <c r="AG99" s="415">
        <f t="shared" si="90"/>
        <v>39910308</v>
      </c>
      <c r="AH99" s="415">
        <f>SUM(AH92:AH98)</f>
        <v>757855253</v>
      </c>
      <c r="AI99" s="415">
        <f>SUM(AI92:AI98)</f>
        <v>728974503</v>
      </c>
      <c r="AJ99" s="765">
        <f>AI99/AH99*100</f>
        <v>96.189146953105563</v>
      </c>
    </row>
    <row r="100" spans="1:36" ht="13.5" customHeight="1">
      <c r="A100" s="410"/>
      <c r="B100" s="410"/>
      <c r="C100" s="411"/>
      <c r="D100" s="411"/>
      <c r="E100" s="411"/>
      <c r="F100" s="417"/>
      <c r="G100" s="417"/>
      <c r="H100" s="418"/>
      <c r="I100" s="417"/>
      <c r="J100" s="419"/>
      <c r="K100" s="420"/>
      <c r="L100" s="421"/>
      <c r="M100" s="421"/>
      <c r="N100" s="421"/>
      <c r="O100" s="421"/>
      <c r="P100" s="421"/>
      <c r="Q100" s="421"/>
      <c r="R100" s="421"/>
      <c r="S100" s="421"/>
      <c r="T100" s="421"/>
      <c r="U100" s="421"/>
      <c r="V100" s="421"/>
      <c r="W100" s="421"/>
      <c r="X100" s="421"/>
      <c r="Y100" s="421"/>
      <c r="Z100" s="421"/>
      <c r="AA100" s="421"/>
      <c r="AB100" s="421"/>
      <c r="AC100" s="421"/>
      <c r="AD100" s="421"/>
      <c r="AE100" s="421"/>
      <c r="AF100" s="421"/>
      <c r="AG100" s="421"/>
      <c r="AH100" s="421"/>
      <c r="AI100" s="421"/>
      <c r="AJ100" s="766"/>
    </row>
    <row r="101" spans="1:36" s="422" customFormat="1" ht="13.5" customHeight="1">
      <c r="A101" s="410">
        <v>9</v>
      </c>
      <c r="B101" s="103"/>
      <c r="C101" s="104"/>
      <c r="D101" s="104"/>
      <c r="E101" s="104"/>
      <c r="F101" s="663" t="s">
        <v>165</v>
      </c>
      <c r="H101" s="162"/>
      <c r="I101" s="162"/>
      <c r="J101" s="128"/>
      <c r="K101" s="208"/>
      <c r="L101" s="217"/>
      <c r="M101" s="217"/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/>
      <c r="AF101" s="217"/>
      <c r="AG101" s="217"/>
      <c r="AH101" s="217"/>
      <c r="AI101" s="217"/>
      <c r="AJ101" s="764"/>
    </row>
    <row r="102" spans="1:36" ht="13.5" customHeight="1">
      <c r="A102" s="410"/>
      <c r="B102" s="410"/>
      <c r="C102" s="411">
        <v>1</v>
      </c>
      <c r="D102" s="411"/>
      <c r="E102" s="411"/>
      <c r="F102" s="412"/>
      <c r="G102" s="36"/>
      <c r="H102" s="162" t="s">
        <v>35</v>
      </c>
      <c r="I102" s="162"/>
      <c r="J102" s="128"/>
      <c r="K102" s="208"/>
      <c r="L102" s="217"/>
      <c r="M102" s="217"/>
      <c r="N102" s="217"/>
      <c r="O102" s="217"/>
      <c r="P102" s="217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17"/>
      <c r="AE102" s="217"/>
      <c r="AF102" s="217"/>
      <c r="AG102" s="217"/>
      <c r="AH102" s="217"/>
      <c r="AI102" s="217"/>
      <c r="AJ102" s="764"/>
    </row>
    <row r="103" spans="1:36" ht="13.5" customHeight="1">
      <c r="A103" s="410"/>
      <c r="B103" s="410"/>
      <c r="C103" s="411"/>
      <c r="D103" s="411">
        <v>1</v>
      </c>
      <c r="E103" s="411" t="s">
        <v>199</v>
      </c>
      <c r="F103" s="412"/>
      <c r="G103" s="36"/>
      <c r="H103" s="162"/>
      <c r="I103" s="162" t="s">
        <v>180</v>
      </c>
      <c r="J103" s="128">
        <v>92030840</v>
      </c>
      <c r="K103" s="208"/>
      <c r="L103" s="217">
        <f>SUM(J103:K103)</f>
        <v>92030840</v>
      </c>
      <c r="M103" s="217">
        <v>490114</v>
      </c>
      <c r="N103" s="217"/>
      <c r="O103" s="217"/>
      <c r="P103" s="217"/>
      <c r="Q103" s="217">
        <v>2367463</v>
      </c>
      <c r="R103" s="217">
        <v>49857837</v>
      </c>
      <c r="S103" s="217">
        <f t="shared" ref="S103:S108" si="91">SUM(M103:R103)</f>
        <v>52715414</v>
      </c>
      <c r="T103" s="217">
        <f t="shared" ref="T103:T108" si="92">S103+L103</f>
        <v>144746254</v>
      </c>
      <c r="U103" s="217"/>
      <c r="V103" s="217"/>
      <c r="W103" s="217"/>
      <c r="X103" s="217">
        <v>1278795</v>
      </c>
      <c r="Y103" s="217"/>
      <c r="Z103" s="217">
        <f t="shared" ref="Z103:Z108" si="93">SUM(U103:Y103)</f>
        <v>1278795</v>
      </c>
      <c r="AA103" s="217">
        <f>Z103+T103</f>
        <v>146025049</v>
      </c>
      <c r="AB103" s="217"/>
      <c r="AC103" s="217">
        <f>8368200</f>
        <v>8368200</v>
      </c>
      <c r="AD103" s="217"/>
      <c r="AE103" s="217">
        <f>1277401+15899+100000</f>
        <v>1393300</v>
      </c>
      <c r="AF103" s="217"/>
      <c r="AG103" s="217">
        <f>SUM(AB103:AF103)</f>
        <v>9761500</v>
      </c>
      <c r="AH103" s="217">
        <f>AG103+AA103</f>
        <v>155786549</v>
      </c>
      <c r="AI103" s="217">
        <v>101265453</v>
      </c>
      <c r="AJ103" s="764">
        <f t="shared" ref="AJ103:AJ107" si="94">AI103/AH103*100</f>
        <v>65.002693525228551</v>
      </c>
    </row>
    <row r="104" spans="1:36" ht="13.5" customHeight="1">
      <c r="A104" s="410"/>
      <c r="B104" s="410"/>
      <c r="C104" s="411"/>
      <c r="D104" s="411">
        <v>2</v>
      </c>
      <c r="E104" s="411" t="s">
        <v>199</v>
      </c>
      <c r="F104" s="412"/>
      <c r="G104" s="36"/>
      <c r="H104" s="162"/>
      <c r="I104" s="162" t="s">
        <v>182</v>
      </c>
      <c r="J104" s="128">
        <v>19640944</v>
      </c>
      <c r="K104" s="208"/>
      <c r="L104" s="217">
        <f>SUM(J104:K104)</f>
        <v>19640944</v>
      </c>
      <c r="M104" s="217">
        <v>430371</v>
      </c>
      <c r="N104" s="217"/>
      <c r="O104" s="217"/>
      <c r="P104" s="217"/>
      <c r="Q104" s="217">
        <v>471782</v>
      </c>
      <c r="R104" s="217">
        <v>11348716</v>
      </c>
      <c r="S104" s="217">
        <f t="shared" si="91"/>
        <v>12250869</v>
      </c>
      <c r="T104" s="217">
        <f t="shared" si="92"/>
        <v>31891813</v>
      </c>
      <c r="U104" s="217"/>
      <c r="V104" s="217"/>
      <c r="W104" s="217"/>
      <c r="X104" s="217">
        <v>249364</v>
      </c>
      <c r="Y104" s="217"/>
      <c r="Z104" s="217">
        <f t="shared" si="93"/>
        <v>249364</v>
      </c>
      <c r="AA104" s="217">
        <f>Z104+T104</f>
        <v>32141177</v>
      </c>
      <c r="AB104" s="217"/>
      <c r="AC104" s="217">
        <v>1631800</v>
      </c>
      <c r="AD104" s="217"/>
      <c r="AE104" s="217">
        <f>19500+3100+249093</f>
        <v>271693</v>
      </c>
      <c r="AF104" s="217"/>
      <c r="AG104" s="217">
        <f t="shared" ref="AG104:AG108" si="95">SUM(AB104:AF104)</f>
        <v>1903493</v>
      </c>
      <c r="AH104" s="217">
        <f t="shared" ref="AH104:AH108" si="96">AG104+AA104</f>
        <v>34044670</v>
      </c>
      <c r="AI104" s="217">
        <v>21582657</v>
      </c>
      <c r="AJ104" s="764">
        <f t="shared" si="94"/>
        <v>63.395112950132869</v>
      </c>
    </row>
    <row r="105" spans="1:36" ht="13.5" customHeight="1">
      <c r="A105" s="410"/>
      <c r="B105" s="410"/>
      <c r="C105" s="411"/>
      <c r="D105" s="411">
        <v>3</v>
      </c>
      <c r="E105" s="411" t="s">
        <v>199</v>
      </c>
      <c r="F105" s="412"/>
      <c r="G105" s="36"/>
      <c r="H105" s="162"/>
      <c r="I105" s="162" t="s">
        <v>116</v>
      </c>
      <c r="J105" s="128">
        <v>42819494</v>
      </c>
      <c r="K105" s="208"/>
      <c r="L105" s="217">
        <f>SUM(J105:K105)</f>
        <v>42819494</v>
      </c>
      <c r="M105" s="217">
        <v>3462535</v>
      </c>
      <c r="N105" s="217"/>
      <c r="O105" s="217"/>
      <c r="P105" s="217"/>
      <c r="Q105" s="217"/>
      <c r="R105" s="217">
        <v>34491151</v>
      </c>
      <c r="S105" s="217">
        <f t="shared" si="91"/>
        <v>37953686</v>
      </c>
      <c r="T105" s="217">
        <f t="shared" si="92"/>
        <v>80773180</v>
      </c>
      <c r="U105" s="217"/>
      <c r="V105" s="217"/>
      <c r="W105" s="217"/>
      <c r="X105" s="217"/>
      <c r="Y105" s="217">
        <v>800000</v>
      </c>
      <c r="Z105" s="217">
        <f t="shared" si="93"/>
        <v>800000</v>
      </c>
      <c r="AA105" s="217">
        <f>Z105+T105</f>
        <v>81573180</v>
      </c>
      <c r="AB105" s="217"/>
      <c r="AC105" s="217">
        <v>6630939</v>
      </c>
      <c r="AD105" s="217"/>
      <c r="AE105" s="217"/>
      <c r="AF105" s="217">
        <v>2900000</v>
      </c>
      <c r="AG105" s="217">
        <f t="shared" si="95"/>
        <v>9530939</v>
      </c>
      <c r="AH105" s="217">
        <f t="shared" si="96"/>
        <v>91104119</v>
      </c>
      <c r="AI105" s="217">
        <v>50124816</v>
      </c>
      <c r="AJ105" s="764">
        <f t="shared" si="94"/>
        <v>55.019264277172809</v>
      </c>
    </row>
    <row r="106" spans="1:36" ht="13.5" customHeight="1">
      <c r="A106" s="410"/>
      <c r="B106" s="410"/>
      <c r="C106" s="411">
        <v>2</v>
      </c>
      <c r="D106" s="411"/>
      <c r="E106" s="411"/>
      <c r="F106" s="412"/>
      <c r="G106" s="36"/>
      <c r="H106" s="162" t="s">
        <v>211</v>
      </c>
      <c r="I106" s="162"/>
      <c r="J106" s="128"/>
      <c r="K106" s="208"/>
      <c r="L106" s="217"/>
      <c r="M106" s="217"/>
      <c r="N106" s="217"/>
      <c r="O106" s="217"/>
      <c r="P106" s="217"/>
      <c r="Q106" s="217"/>
      <c r="R106" s="217"/>
      <c r="S106" s="217">
        <f t="shared" si="91"/>
        <v>0</v>
      </c>
      <c r="T106" s="217"/>
      <c r="U106" s="217"/>
      <c r="V106" s="217"/>
      <c r="W106" s="217"/>
      <c r="X106" s="217"/>
      <c r="Y106" s="217"/>
      <c r="Z106" s="217">
        <f t="shared" si="93"/>
        <v>0</v>
      </c>
      <c r="AA106" s="217"/>
      <c r="AB106" s="217"/>
      <c r="AC106" s="217"/>
      <c r="AD106" s="217"/>
      <c r="AE106" s="217"/>
      <c r="AF106" s="217"/>
      <c r="AG106" s="217">
        <f t="shared" si="95"/>
        <v>0</v>
      </c>
      <c r="AH106" s="217">
        <f t="shared" si="96"/>
        <v>0</v>
      </c>
      <c r="AI106" s="217"/>
      <c r="AJ106" s="764"/>
    </row>
    <row r="107" spans="1:36" ht="13.5" customHeight="1">
      <c r="A107" s="410"/>
      <c r="B107" s="410"/>
      <c r="C107" s="411"/>
      <c r="D107" s="411">
        <v>6</v>
      </c>
      <c r="E107" s="411" t="s">
        <v>199</v>
      </c>
      <c r="F107" s="412"/>
      <c r="G107" s="36"/>
      <c r="H107" s="162"/>
      <c r="I107" s="162" t="s">
        <v>213</v>
      </c>
      <c r="J107" s="128"/>
      <c r="K107" s="208">
        <v>8120000</v>
      </c>
      <c r="L107" s="217">
        <f>SUM(J107:K107)</f>
        <v>8120000</v>
      </c>
      <c r="M107" s="217"/>
      <c r="N107" s="217"/>
      <c r="O107" s="217"/>
      <c r="P107" s="217"/>
      <c r="Q107" s="217"/>
      <c r="R107" s="217">
        <v>14270000</v>
      </c>
      <c r="S107" s="217">
        <f t="shared" si="91"/>
        <v>14270000</v>
      </c>
      <c r="T107" s="217">
        <f t="shared" si="92"/>
        <v>22390000</v>
      </c>
      <c r="U107" s="217"/>
      <c r="V107" s="217"/>
      <c r="W107" s="217"/>
      <c r="X107" s="217"/>
      <c r="Y107" s="217"/>
      <c r="Z107" s="217">
        <f t="shared" si="93"/>
        <v>0</v>
      </c>
      <c r="AA107" s="217">
        <f>Z107+T107</f>
        <v>22390000</v>
      </c>
      <c r="AB107" s="217"/>
      <c r="AC107" s="217"/>
      <c r="AD107" s="217"/>
      <c r="AE107" s="217"/>
      <c r="AF107" s="217"/>
      <c r="AG107" s="217">
        <f t="shared" si="95"/>
        <v>0</v>
      </c>
      <c r="AH107" s="217">
        <f t="shared" si="96"/>
        <v>22390000</v>
      </c>
      <c r="AI107" s="217">
        <v>17821690</v>
      </c>
      <c r="AJ107" s="764">
        <f t="shared" si="94"/>
        <v>79.596650290308162</v>
      </c>
    </row>
    <row r="108" spans="1:36" ht="13.5" customHeight="1">
      <c r="A108" s="410"/>
      <c r="B108" s="410"/>
      <c r="C108" s="411"/>
      <c r="D108" s="411">
        <v>7</v>
      </c>
      <c r="E108" s="411" t="s">
        <v>199</v>
      </c>
      <c r="F108" s="412"/>
      <c r="G108" s="36"/>
      <c r="H108" s="162"/>
      <c r="I108" s="162" t="s">
        <v>214</v>
      </c>
      <c r="J108" s="128"/>
      <c r="K108" s="208">
        <v>3810000</v>
      </c>
      <c r="L108" s="217">
        <f>SUM(J108:K108)</f>
        <v>3810000</v>
      </c>
      <c r="M108" s="217">
        <v>2300000</v>
      </c>
      <c r="N108" s="217"/>
      <c r="O108" s="217"/>
      <c r="P108" s="217"/>
      <c r="Q108" s="217"/>
      <c r="R108" s="217"/>
      <c r="S108" s="217">
        <f t="shared" si="91"/>
        <v>2300000</v>
      </c>
      <c r="T108" s="217">
        <f t="shared" si="92"/>
        <v>6110000</v>
      </c>
      <c r="U108" s="217"/>
      <c r="V108" s="217"/>
      <c r="W108" s="217"/>
      <c r="X108" s="217"/>
      <c r="Y108" s="217"/>
      <c r="Z108" s="217">
        <f t="shared" si="93"/>
        <v>0</v>
      </c>
      <c r="AA108" s="217">
        <f>Z108+T108</f>
        <v>6110000</v>
      </c>
      <c r="AB108" s="217"/>
      <c r="AC108" s="217"/>
      <c r="AD108" s="217"/>
      <c r="AE108" s="217"/>
      <c r="AF108" s="217"/>
      <c r="AG108" s="217">
        <f t="shared" si="95"/>
        <v>0</v>
      </c>
      <c r="AH108" s="217">
        <f t="shared" si="96"/>
        <v>6110000</v>
      </c>
      <c r="AI108" s="217">
        <v>2089970</v>
      </c>
      <c r="AJ108" s="764">
        <f t="shared" ref="AJ108" si="97">AI108/AH108*100</f>
        <v>34.205728314238954</v>
      </c>
    </row>
    <row r="109" spans="1:36" ht="13.5" customHeight="1">
      <c r="A109" s="410"/>
      <c r="B109" s="410"/>
      <c r="C109" s="411"/>
      <c r="D109" s="411"/>
      <c r="E109" s="411"/>
      <c r="F109" s="412"/>
      <c r="G109" s="36"/>
      <c r="H109" s="162"/>
      <c r="I109" s="162"/>
      <c r="J109" s="128"/>
      <c r="K109" s="208"/>
      <c r="L109" s="217"/>
      <c r="M109" s="217"/>
      <c r="N109" s="217"/>
      <c r="O109" s="217"/>
      <c r="P109" s="217"/>
      <c r="Q109" s="217"/>
      <c r="R109" s="217"/>
      <c r="S109" s="217"/>
      <c r="T109" s="217"/>
      <c r="U109" s="217"/>
      <c r="V109" s="217"/>
      <c r="W109" s="217"/>
      <c r="X109" s="217"/>
      <c r="Y109" s="217"/>
      <c r="Z109" s="217"/>
      <c r="AA109" s="217"/>
      <c r="AB109" s="217"/>
      <c r="AC109" s="217"/>
      <c r="AD109" s="217"/>
      <c r="AE109" s="217"/>
      <c r="AF109" s="217"/>
      <c r="AG109" s="217"/>
      <c r="AH109" s="217"/>
      <c r="AI109" s="217"/>
      <c r="AJ109" s="764"/>
    </row>
    <row r="110" spans="1:36" ht="13.5" customHeight="1">
      <c r="A110" s="410"/>
      <c r="B110" s="410"/>
      <c r="C110" s="411"/>
      <c r="D110" s="411"/>
      <c r="E110" s="411"/>
      <c r="F110" s="413" t="s">
        <v>37</v>
      </c>
      <c r="G110" s="413"/>
      <c r="H110" s="414"/>
      <c r="I110" s="413"/>
      <c r="J110" s="415">
        <f>SUM(J103:J109)</f>
        <v>154491278</v>
      </c>
      <c r="K110" s="416">
        <f>SUM(K103:K109)</f>
        <v>11930000</v>
      </c>
      <c r="L110" s="415">
        <f>SUM(L103:L109)</f>
        <v>166421278</v>
      </c>
      <c r="M110" s="415">
        <f>SUM(M103:M109)</f>
        <v>6683020</v>
      </c>
      <c r="N110" s="415"/>
      <c r="O110" s="415"/>
      <c r="P110" s="415">
        <f t="shared" ref="P110:S110" si="98">SUM(P103:P109)</f>
        <v>0</v>
      </c>
      <c r="Q110" s="415">
        <f t="shared" si="98"/>
        <v>2839245</v>
      </c>
      <c r="R110" s="415">
        <f t="shared" si="98"/>
        <v>109967704</v>
      </c>
      <c r="S110" s="415">
        <f t="shared" si="98"/>
        <v>119489969</v>
      </c>
      <c r="T110" s="415">
        <f>SUM(T103:T109)</f>
        <v>285911247</v>
      </c>
      <c r="U110" s="415"/>
      <c r="V110" s="415"/>
      <c r="W110" s="415"/>
      <c r="X110" s="415">
        <f t="shared" ref="X110:Z110" si="99">SUM(X103:X109)</f>
        <v>1528159</v>
      </c>
      <c r="Y110" s="415">
        <f t="shared" si="99"/>
        <v>800000</v>
      </c>
      <c r="Z110" s="415">
        <f t="shared" si="99"/>
        <v>2328159</v>
      </c>
      <c r="AA110" s="415">
        <f>SUM(AA103:AA109)</f>
        <v>288239406</v>
      </c>
      <c r="AB110" s="415">
        <f t="shared" ref="AB110:AC110" si="100">SUM(AB103:AB109)</f>
        <v>0</v>
      </c>
      <c r="AC110" s="415">
        <f t="shared" si="100"/>
        <v>16630939</v>
      </c>
      <c r="AD110" s="415"/>
      <c r="AE110" s="415">
        <f t="shared" ref="AE110:AG110" si="101">SUM(AE103:AE109)</f>
        <v>1664993</v>
      </c>
      <c r="AF110" s="415">
        <f t="shared" si="101"/>
        <v>2900000</v>
      </c>
      <c r="AG110" s="415">
        <f t="shared" si="101"/>
        <v>21195932</v>
      </c>
      <c r="AH110" s="415">
        <f>SUM(AH103:AH109)</f>
        <v>309435338</v>
      </c>
      <c r="AI110" s="415">
        <f>SUM(AI103:AI109)</f>
        <v>192884586</v>
      </c>
      <c r="AJ110" s="765">
        <f>AI110/AH110*100</f>
        <v>62.334375655569104</v>
      </c>
    </row>
    <row r="111" spans="1:36" s="422" customFormat="1" ht="13.5" customHeight="1">
      <c r="A111" s="410"/>
      <c r="B111" s="410"/>
      <c r="C111" s="411"/>
      <c r="D111" s="411"/>
      <c r="E111" s="411"/>
      <c r="F111" s="417"/>
      <c r="G111" s="417"/>
      <c r="H111" s="418"/>
      <c r="I111" s="417"/>
      <c r="J111" s="419"/>
      <c r="K111" s="420"/>
      <c r="L111" s="421"/>
      <c r="M111" s="421"/>
      <c r="N111" s="421"/>
      <c r="O111" s="421"/>
      <c r="P111" s="421"/>
      <c r="Q111" s="421"/>
      <c r="R111" s="421"/>
      <c r="S111" s="421"/>
      <c r="T111" s="421"/>
      <c r="U111" s="421"/>
      <c r="V111" s="421"/>
      <c r="W111" s="421"/>
      <c r="X111" s="421"/>
      <c r="Y111" s="421"/>
      <c r="Z111" s="421"/>
      <c r="AA111" s="421"/>
      <c r="AB111" s="421"/>
      <c r="AC111" s="421"/>
      <c r="AD111" s="421"/>
      <c r="AE111" s="421"/>
      <c r="AF111" s="421"/>
      <c r="AG111" s="421"/>
      <c r="AH111" s="421"/>
      <c r="AI111" s="421"/>
      <c r="AJ111" s="766"/>
    </row>
    <row r="112" spans="1:36" ht="13.5" customHeight="1">
      <c r="A112" s="410">
        <v>10</v>
      </c>
      <c r="B112" s="410"/>
      <c r="C112" s="411"/>
      <c r="D112" s="411"/>
      <c r="E112" s="411"/>
      <c r="F112" s="412" t="s">
        <v>137</v>
      </c>
      <c r="G112" s="412"/>
      <c r="H112" s="412"/>
      <c r="I112" s="412"/>
      <c r="J112" s="128"/>
      <c r="K112" s="208"/>
      <c r="L112" s="217"/>
      <c r="M112" s="217"/>
      <c r="N112" s="217"/>
      <c r="O112" s="217"/>
      <c r="P112" s="217"/>
      <c r="Q112" s="217"/>
      <c r="R112" s="217"/>
      <c r="S112" s="217"/>
      <c r="T112" s="217"/>
      <c r="U112" s="217"/>
      <c r="V112" s="217"/>
      <c r="W112" s="217"/>
      <c r="X112" s="217"/>
      <c r="Y112" s="217"/>
      <c r="Z112" s="217"/>
      <c r="AA112" s="217"/>
      <c r="AB112" s="217"/>
      <c r="AC112" s="217"/>
      <c r="AD112" s="217"/>
      <c r="AE112" s="217"/>
      <c r="AF112" s="217"/>
      <c r="AG112" s="217"/>
      <c r="AH112" s="217"/>
      <c r="AI112" s="217"/>
      <c r="AJ112" s="764"/>
    </row>
    <row r="113" spans="1:36" ht="13.5" customHeight="1">
      <c r="A113" s="410"/>
      <c r="B113" s="410"/>
      <c r="C113" s="411">
        <v>1</v>
      </c>
      <c r="D113" s="411"/>
      <c r="E113" s="411"/>
      <c r="F113" s="412"/>
      <c r="G113" s="36"/>
      <c r="H113" s="162" t="s">
        <v>35</v>
      </c>
      <c r="I113" s="162"/>
      <c r="J113" s="128"/>
      <c r="K113" s="208"/>
      <c r="L113" s="217"/>
      <c r="M113" s="217"/>
      <c r="N113" s="217"/>
      <c r="O113" s="217"/>
      <c r="P113" s="217"/>
      <c r="Q113" s="217"/>
      <c r="R113" s="217"/>
      <c r="S113" s="217"/>
      <c r="T113" s="217"/>
      <c r="U113" s="217"/>
      <c r="V113" s="217"/>
      <c r="W113" s="217"/>
      <c r="X113" s="217"/>
      <c r="Y113" s="217"/>
      <c r="Z113" s="217"/>
      <c r="AA113" s="217"/>
      <c r="AB113" s="217"/>
      <c r="AC113" s="217"/>
      <c r="AD113" s="217"/>
      <c r="AE113" s="217"/>
      <c r="AF113" s="217"/>
      <c r="AG113" s="217"/>
      <c r="AH113" s="217"/>
      <c r="AI113" s="217"/>
      <c r="AJ113" s="764"/>
    </row>
    <row r="114" spans="1:36" ht="13.5" customHeight="1">
      <c r="A114" s="410"/>
      <c r="B114" s="410"/>
      <c r="C114" s="411"/>
      <c r="D114" s="411">
        <v>1</v>
      </c>
      <c r="E114" s="411" t="s">
        <v>199</v>
      </c>
      <c r="F114" s="412"/>
      <c r="G114" s="36"/>
      <c r="H114" s="162"/>
      <c r="I114" s="162" t="s">
        <v>180</v>
      </c>
      <c r="J114" s="128">
        <v>342434245</v>
      </c>
      <c r="K114" s="208"/>
      <c r="L114" s="217">
        <f>SUM(J114:K114)</f>
        <v>342434245</v>
      </c>
      <c r="M114" s="217">
        <v>10119668</v>
      </c>
      <c r="N114" s="217"/>
      <c r="O114" s="217"/>
      <c r="P114" s="217"/>
      <c r="Q114" s="217">
        <v>1231592</v>
      </c>
      <c r="R114" s="217">
        <v>1944908</v>
      </c>
      <c r="S114" s="217">
        <f t="shared" ref="S114:S126" si="102">SUM(M114:R114)</f>
        <v>13296168</v>
      </c>
      <c r="T114" s="217">
        <f t="shared" ref="T114:T126" si="103">S114+L114</f>
        <v>355730413</v>
      </c>
      <c r="U114" s="217"/>
      <c r="V114" s="217"/>
      <c r="W114" s="217"/>
      <c r="X114" s="217">
        <v>554699</v>
      </c>
      <c r="Y114" s="217">
        <v>2147959</v>
      </c>
      <c r="Z114" s="217">
        <f t="shared" ref="Z114:Z126" si="104">SUM(U114:Y114)</f>
        <v>2702658</v>
      </c>
      <c r="AA114" s="217">
        <f t="shared" ref="AA114:AA121" si="105">Z114+T114</f>
        <v>358433071</v>
      </c>
      <c r="AB114" s="217"/>
      <c r="AC114" s="217">
        <f>6500000+9170000-400000-2000000</f>
        <v>13270000</v>
      </c>
      <c r="AD114" s="217"/>
      <c r="AE114" s="217">
        <f>600000+554699</f>
        <v>1154699</v>
      </c>
      <c r="AF114" s="217">
        <f>1083797+2304947+3932105</f>
        <v>7320849</v>
      </c>
      <c r="AG114" s="217">
        <f>SUM(AB114:AF114)</f>
        <v>21745548</v>
      </c>
      <c r="AH114" s="217">
        <f>AG114+AA114</f>
        <v>380178619</v>
      </c>
      <c r="AI114" s="217">
        <v>374464454</v>
      </c>
      <c r="AJ114" s="764">
        <f t="shared" ref="AJ114:AJ125" si="106">AI114/AH114*100</f>
        <v>98.496978863506257</v>
      </c>
    </row>
    <row r="115" spans="1:36" ht="13.5" customHeight="1">
      <c r="A115" s="410"/>
      <c r="B115" s="410"/>
      <c r="C115" s="411"/>
      <c r="D115" s="411">
        <v>1</v>
      </c>
      <c r="E115" s="411" t="s">
        <v>198</v>
      </c>
      <c r="F115" s="412"/>
      <c r="G115" s="36"/>
      <c r="H115" s="162"/>
      <c r="I115" s="162" t="s">
        <v>180</v>
      </c>
      <c r="J115" s="128">
        <v>18754123</v>
      </c>
      <c r="K115" s="208"/>
      <c r="L115" s="217">
        <f t="shared" ref="L115:L126" si="107">SUM(J115:K115)</f>
        <v>18754123</v>
      </c>
      <c r="M115" s="217">
        <v>16750</v>
      </c>
      <c r="N115" s="217"/>
      <c r="O115" s="217"/>
      <c r="P115" s="217"/>
      <c r="Q115" s="217">
        <v>178900</v>
      </c>
      <c r="R115" s="217"/>
      <c r="S115" s="217">
        <f t="shared" si="102"/>
        <v>195650</v>
      </c>
      <c r="T115" s="217">
        <f t="shared" si="103"/>
        <v>18949773</v>
      </c>
      <c r="U115" s="217"/>
      <c r="V115" s="217"/>
      <c r="W115" s="217"/>
      <c r="X115" s="217">
        <v>86700</v>
      </c>
      <c r="Y115" s="217"/>
      <c r="Z115" s="217">
        <f t="shared" si="104"/>
        <v>86700</v>
      </c>
      <c r="AA115" s="217">
        <f t="shared" si="105"/>
        <v>19036473</v>
      </c>
      <c r="AB115" s="217"/>
      <c r="AC115" s="217">
        <f>2000000+560000</f>
        <v>2560000</v>
      </c>
      <c r="AD115" s="217"/>
      <c r="AE115" s="217">
        <v>86700</v>
      </c>
      <c r="AF115" s="217"/>
      <c r="AG115" s="217">
        <f t="shared" ref="AG115:AG126" si="108">SUM(AB115:AF115)</f>
        <v>2646700</v>
      </c>
      <c r="AH115" s="217">
        <f t="shared" ref="AH115:AH126" si="109">AG115+AA115</f>
        <v>21683173</v>
      </c>
      <c r="AI115" s="217">
        <v>21608309</v>
      </c>
      <c r="AJ115" s="764">
        <f t="shared" si="106"/>
        <v>99.654736878223488</v>
      </c>
    </row>
    <row r="116" spans="1:36" ht="13.5" customHeight="1">
      <c r="A116" s="410"/>
      <c r="B116" s="410"/>
      <c r="C116" s="411"/>
      <c r="D116" s="411">
        <v>2</v>
      </c>
      <c r="E116" s="411" t="s">
        <v>199</v>
      </c>
      <c r="F116" s="412"/>
      <c r="G116" s="36"/>
      <c r="H116" s="162"/>
      <c r="I116" s="162" t="s">
        <v>182</v>
      </c>
      <c r="J116" s="128">
        <v>74110002</v>
      </c>
      <c r="K116" s="208"/>
      <c r="L116" s="217">
        <f t="shared" si="107"/>
        <v>74110002</v>
      </c>
      <c r="M116" s="217">
        <v>3982244</v>
      </c>
      <c r="N116" s="217"/>
      <c r="O116" s="217"/>
      <c r="P116" s="217"/>
      <c r="Q116" s="217">
        <v>247028</v>
      </c>
      <c r="R116" s="217">
        <v>189628</v>
      </c>
      <c r="S116" s="217">
        <f t="shared" si="102"/>
        <v>4418900</v>
      </c>
      <c r="T116" s="217">
        <f t="shared" si="103"/>
        <v>78528902</v>
      </c>
      <c r="U116" s="217"/>
      <c r="V116" s="217"/>
      <c r="W116" s="217"/>
      <c r="X116" s="217">
        <v>108168</v>
      </c>
      <c r="Y116" s="217">
        <v>209427</v>
      </c>
      <c r="Z116" s="217">
        <f t="shared" si="104"/>
        <v>317595</v>
      </c>
      <c r="AA116" s="217">
        <f t="shared" si="105"/>
        <v>78846497</v>
      </c>
      <c r="AB116" s="217"/>
      <c r="AC116" s="217">
        <f>1267500+1788150+400000-398000</f>
        <v>3057650</v>
      </c>
      <c r="AD116" s="217"/>
      <c r="AE116" s="217">
        <f>117000+108165</f>
        <v>225165</v>
      </c>
      <c r="AF116" s="217">
        <f>175585+417669+2380</f>
        <v>595634</v>
      </c>
      <c r="AG116" s="217">
        <f t="shared" si="108"/>
        <v>3878449</v>
      </c>
      <c r="AH116" s="217">
        <f t="shared" si="109"/>
        <v>82724946</v>
      </c>
      <c r="AI116" s="217">
        <v>80503077</v>
      </c>
      <c r="AJ116" s="764">
        <f t="shared" si="106"/>
        <v>97.314148745409881</v>
      </c>
    </row>
    <row r="117" spans="1:36" ht="13.5" customHeight="1">
      <c r="A117" s="410"/>
      <c r="B117" s="410"/>
      <c r="C117" s="411"/>
      <c r="D117" s="411">
        <v>2</v>
      </c>
      <c r="E117" s="411" t="s">
        <v>198</v>
      </c>
      <c r="F117" s="412"/>
      <c r="G117" s="36"/>
      <c r="H117" s="162"/>
      <c r="I117" s="162" t="s">
        <v>182</v>
      </c>
      <c r="J117" s="128">
        <v>3657054</v>
      </c>
      <c r="K117" s="208"/>
      <c r="L117" s="217">
        <f t="shared" si="107"/>
        <v>3657054</v>
      </c>
      <c r="M117" s="217">
        <v>11000</v>
      </c>
      <c r="N117" s="217"/>
      <c r="O117" s="217"/>
      <c r="P117" s="217"/>
      <c r="Q117" s="217">
        <v>35746</v>
      </c>
      <c r="R117" s="217"/>
      <c r="S117" s="217">
        <f t="shared" si="102"/>
        <v>46746</v>
      </c>
      <c r="T117" s="217">
        <f t="shared" si="103"/>
        <v>3703800</v>
      </c>
      <c r="U117" s="217"/>
      <c r="V117" s="217"/>
      <c r="W117" s="217"/>
      <c r="X117" s="217">
        <v>16905</v>
      </c>
      <c r="Y117" s="217"/>
      <c r="Z117" s="217">
        <f t="shared" si="104"/>
        <v>16905</v>
      </c>
      <c r="AA117" s="217">
        <f t="shared" si="105"/>
        <v>3720705</v>
      </c>
      <c r="AB117" s="217"/>
      <c r="AC117" s="217">
        <f>109200+398000</f>
        <v>507200</v>
      </c>
      <c r="AD117" s="217"/>
      <c r="AE117" s="217">
        <v>16908</v>
      </c>
      <c r="AF117" s="217"/>
      <c r="AG117" s="217">
        <f t="shared" si="108"/>
        <v>524108</v>
      </c>
      <c r="AH117" s="217">
        <f t="shared" si="109"/>
        <v>4244813</v>
      </c>
      <c r="AI117" s="217">
        <v>4237815</v>
      </c>
      <c r="AJ117" s="764">
        <f t="shared" si="106"/>
        <v>99.835139969652374</v>
      </c>
    </row>
    <row r="118" spans="1:36" ht="13.5" customHeight="1">
      <c r="A118" s="410"/>
      <c r="B118" s="410"/>
      <c r="C118" s="411"/>
      <c r="D118" s="411">
        <v>3</v>
      </c>
      <c r="E118" s="411" t="s">
        <v>199</v>
      </c>
      <c r="F118" s="412"/>
      <c r="G118" s="36"/>
      <c r="H118" s="162"/>
      <c r="I118" s="162" t="s">
        <v>116</v>
      </c>
      <c r="J118" s="128">
        <v>637603122</v>
      </c>
      <c r="K118" s="208"/>
      <c r="L118" s="217">
        <f t="shared" si="107"/>
        <v>637603122</v>
      </c>
      <c r="M118" s="217">
        <v>8589933</v>
      </c>
      <c r="N118" s="217"/>
      <c r="O118" s="217"/>
      <c r="P118" s="217"/>
      <c r="Q118" s="217"/>
      <c r="R118" s="217"/>
      <c r="S118" s="217">
        <f t="shared" si="102"/>
        <v>8589933</v>
      </c>
      <c r="T118" s="217">
        <f t="shared" si="103"/>
        <v>646193055</v>
      </c>
      <c r="U118" s="217"/>
      <c r="V118" s="217">
        <v>910000</v>
      </c>
      <c r="W118" s="217"/>
      <c r="X118" s="217"/>
      <c r="Y118" s="217"/>
      <c r="Z118" s="217">
        <f t="shared" si="104"/>
        <v>910000</v>
      </c>
      <c r="AA118" s="217">
        <f t="shared" si="105"/>
        <v>647103055</v>
      </c>
      <c r="AB118" s="217"/>
      <c r="AC118" s="217">
        <f>8195807+6121400-1800000+24244425</f>
        <v>36761632</v>
      </c>
      <c r="AD118" s="217"/>
      <c r="AE118" s="217"/>
      <c r="AF118" s="217"/>
      <c r="AG118" s="217">
        <f t="shared" si="108"/>
        <v>36761632</v>
      </c>
      <c r="AH118" s="217">
        <f t="shared" si="109"/>
        <v>683864687</v>
      </c>
      <c r="AI118" s="217">
        <v>668851687</v>
      </c>
      <c r="AJ118" s="764">
        <f t="shared" si="106"/>
        <v>97.804682668166492</v>
      </c>
    </row>
    <row r="119" spans="1:36" ht="13.5" customHeight="1">
      <c r="A119" s="410"/>
      <c r="B119" s="410"/>
      <c r="C119" s="411"/>
      <c r="D119" s="411">
        <v>3</v>
      </c>
      <c r="E119" s="411" t="s">
        <v>198</v>
      </c>
      <c r="F119" s="412"/>
      <c r="G119" s="36"/>
      <c r="H119" s="162"/>
      <c r="I119" s="162" t="s">
        <v>116</v>
      </c>
      <c r="J119" s="128">
        <v>7904640</v>
      </c>
      <c r="K119" s="208"/>
      <c r="L119" s="217">
        <f t="shared" si="107"/>
        <v>7904640</v>
      </c>
      <c r="M119" s="217">
        <v>1000000</v>
      </c>
      <c r="N119" s="217"/>
      <c r="O119" s="217"/>
      <c r="P119" s="217"/>
      <c r="Q119" s="217"/>
      <c r="R119" s="217"/>
      <c r="S119" s="217">
        <f t="shared" si="102"/>
        <v>1000000</v>
      </c>
      <c r="T119" s="217">
        <f t="shared" si="103"/>
        <v>8904640</v>
      </c>
      <c r="U119" s="217"/>
      <c r="V119" s="217"/>
      <c r="W119" s="217"/>
      <c r="X119" s="217"/>
      <c r="Y119" s="217"/>
      <c r="Z119" s="217">
        <f t="shared" si="104"/>
        <v>0</v>
      </c>
      <c r="AA119" s="217">
        <f t="shared" si="105"/>
        <v>8904640</v>
      </c>
      <c r="AB119" s="217"/>
      <c r="AC119" s="217"/>
      <c r="AD119" s="217"/>
      <c r="AE119" s="217"/>
      <c r="AF119" s="217"/>
      <c r="AG119" s="217">
        <f t="shared" si="108"/>
        <v>0</v>
      </c>
      <c r="AH119" s="217">
        <f t="shared" si="109"/>
        <v>8904640</v>
      </c>
      <c r="AI119" s="217">
        <v>3453350</v>
      </c>
      <c r="AJ119" s="764">
        <f t="shared" si="106"/>
        <v>38.781466740935059</v>
      </c>
    </row>
    <row r="120" spans="1:36" ht="13.5" customHeight="1">
      <c r="A120" s="410"/>
      <c r="B120" s="410"/>
      <c r="C120" s="411"/>
      <c r="D120" s="411">
        <v>4</v>
      </c>
      <c r="E120" s="411" t="s">
        <v>199</v>
      </c>
      <c r="F120" s="412"/>
      <c r="G120" s="36"/>
      <c r="H120" s="162"/>
      <c r="I120" s="162" t="s">
        <v>138</v>
      </c>
      <c r="J120" s="128"/>
      <c r="K120" s="208"/>
      <c r="L120" s="217">
        <f t="shared" si="107"/>
        <v>0</v>
      </c>
      <c r="M120" s="217"/>
      <c r="N120" s="217"/>
      <c r="O120" s="217"/>
      <c r="P120" s="217"/>
      <c r="Q120" s="217"/>
      <c r="R120" s="217"/>
      <c r="S120" s="217">
        <f t="shared" si="102"/>
        <v>0</v>
      </c>
      <c r="T120" s="217">
        <f t="shared" si="103"/>
        <v>0</v>
      </c>
      <c r="U120" s="217"/>
      <c r="V120" s="217"/>
      <c r="W120" s="217"/>
      <c r="X120" s="217"/>
      <c r="Y120" s="217"/>
      <c r="Z120" s="217">
        <f t="shared" si="104"/>
        <v>0</v>
      </c>
      <c r="AA120" s="217">
        <f t="shared" si="105"/>
        <v>0</v>
      </c>
      <c r="AB120" s="217"/>
      <c r="AC120" s="217"/>
      <c r="AD120" s="217"/>
      <c r="AE120" s="217"/>
      <c r="AF120" s="217"/>
      <c r="AG120" s="217">
        <f t="shared" si="108"/>
        <v>0</v>
      </c>
      <c r="AH120" s="217">
        <f t="shared" si="109"/>
        <v>0</v>
      </c>
      <c r="AI120" s="217"/>
      <c r="AJ120" s="764"/>
    </row>
    <row r="121" spans="1:36" ht="13.5" customHeight="1">
      <c r="A121" s="410"/>
      <c r="B121" s="410"/>
      <c r="C121" s="411"/>
      <c r="D121" s="411">
        <v>5</v>
      </c>
      <c r="E121" s="411" t="s">
        <v>199</v>
      </c>
      <c r="F121" s="412"/>
      <c r="G121" s="36"/>
      <c r="H121" s="162"/>
      <c r="I121" s="162" t="s">
        <v>185</v>
      </c>
      <c r="J121" s="128">
        <v>2000000</v>
      </c>
      <c r="K121" s="208"/>
      <c r="L121" s="217">
        <f t="shared" si="107"/>
        <v>2000000</v>
      </c>
      <c r="M121" s="217"/>
      <c r="N121" s="217"/>
      <c r="O121" s="217"/>
      <c r="P121" s="217"/>
      <c r="Q121" s="217"/>
      <c r="R121" s="217"/>
      <c r="S121" s="217">
        <f t="shared" si="102"/>
        <v>0</v>
      </c>
      <c r="T121" s="217">
        <f t="shared" si="103"/>
        <v>2000000</v>
      </c>
      <c r="U121" s="217"/>
      <c r="V121" s="217"/>
      <c r="W121" s="217"/>
      <c r="X121" s="217"/>
      <c r="Y121" s="217"/>
      <c r="Z121" s="217">
        <f t="shared" si="104"/>
        <v>0</v>
      </c>
      <c r="AA121" s="217">
        <f t="shared" si="105"/>
        <v>2000000</v>
      </c>
      <c r="AB121" s="217"/>
      <c r="AC121" s="217"/>
      <c r="AD121" s="217"/>
      <c r="AE121" s="217"/>
      <c r="AF121" s="217"/>
      <c r="AG121" s="217">
        <f t="shared" si="108"/>
        <v>0</v>
      </c>
      <c r="AH121" s="217">
        <f t="shared" si="109"/>
        <v>2000000</v>
      </c>
      <c r="AI121" s="217">
        <v>1264616</v>
      </c>
      <c r="AJ121" s="764">
        <f t="shared" si="106"/>
        <v>63.230799999999995</v>
      </c>
    </row>
    <row r="122" spans="1:36" ht="13.5" customHeight="1">
      <c r="A122" s="410"/>
      <c r="B122" s="410"/>
      <c r="C122" s="411">
        <v>2</v>
      </c>
      <c r="D122" s="411"/>
      <c r="E122" s="411"/>
      <c r="F122" s="412"/>
      <c r="G122" s="36"/>
      <c r="H122" s="162" t="s">
        <v>211</v>
      </c>
      <c r="I122" s="162"/>
      <c r="J122" s="128"/>
      <c r="K122" s="208"/>
      <c r="L122" s="217"/>
      <c r="M122" s="217"/>
      <c r="N122" s="217"/>
      <c r="O122" s="217"/>
      <c r="P122" s="217"/>
      <c r="Q122" s="217"/>
      <c r="R122" s="217"/>
      <c r="S122" s="217">
        <f t="shared" si="102"/>
        <v>0</v>
      </c>
      <c r="T122" s="217"/>
      <c r="U122" s="217"/>
      <c r="V122" s="217"/>
      <c r="W122" s="217"/>
      <c r="X122" s="217"/>
      <c r="Y122" s="217"/>
      <c r="Z122" s="217">
        <f t="shared" si="104"/>
        <v>0</v>
      </c>
      <c r="AA122" s="217"/>
      <c r="AB122" s="217"/>
      <c r="AC122" s="217"/>
      <c r="AD122" s="217"/>
      <c r="AE122" s="217"/>
      <c r="AF122" s="217"/>
      <c r="AG122" s="217"/>
      <c r="AH122" s="217"/>
      <c r="AI122" s="217"/>
      <c r="AJ122" s="764"/>
    </row>
    <row r="123" spans="1:36" ht="13.5" customHeight="1">
      <c r="A123" s="410"/>
      <c r="B123" s="410"/>
      <c r="C123" s="411"/>
      <c r="D123" s="411">
        <v>6</v>
      </c>
      <c r="E123" s="411" t="s">
        <v>199</v>
      </c>
      <c r="F123" s="412"/>
      <c r="G123" s="36"/>
      <c r="H123" s="162"/>
      <c r="I123" s="162" t="s">
        <v>213</v>
      </c>
      <c r="J123" s="128"/>
      <c r="K123" s="208">
        <v>9379000</v>
      </c>
      <c r="L123" s="217">
        <f t="shared" si="107"/>
        <v>9379000</v>
      </c>
      <c r="M123" s="217">
        <v>7600000</v>
      </c>
      <c r="N123" s="217"/>
      <c r="O123" s="217"/>
      <c r="P123" s="217"/>
      <c r="Q123" s="217"/>
      <c r="R123" s="217"/>
      <c r="S123" s="217">
        <f t="shared" si="102"/>
        <v>7600000</v>
      </c>
      <c r="T123" s="217">
        <f t="shared" si="103"/>
        <v>16979000</v>
      </c>
      <c r="U123" s="217"/>
      <c r="V123" s="217">
        <v>4000000</v>
      </c>
      <c r="W123" s="217"/>
      <c r="X123" s="217"/>
      <c r="Y123" s="217"/>
      <c r="Z123" s="217">
        <f t="shared" si="104"/>
        <v>4000000</v>
      </c>
      <c r="AA123" s="217">
        <f>Z123+T123</f>
        <v>20979000</v>
      </c>
      <c r="AB123" s="217"/>
      <c r="AC123" s="217">
        <f>1800000+3500000</f>
        <v>5300000</v>
      </c>
      <c r="AD123" s="217"/>
      <c r="AE123" s="217"/>
      <c r="AF123" s="217"/>
      <c r="AG123" s="217">
        <f t="shared" si="108"/>
        <v>5300000</v>
      </c>
      <c r="AH123" s="217">
        <f t="shared" si="109"/>
        <v>26279000</v>
      </c>
      <c r="AI123" s="217">
        <v>25110639</v>
      </c>
      <c r="AJ123" s="764">
        <f t="shared" si="106"/>
        <v>95.554012709768259</v>
      </c>
    </row>
    <row r="124" spans="1:36" ht="13.5" customHeight="1">
      <c r="A124" s="410"/>
      <c r="B124" s="410"/>
      <c r="C124" s="411"/>
      <c r="D124" s="411">
        <v>6</v>
      </c>
      <c r="E124" s="411" t="s">
        <v>198</v>
      </c>
      <c r="F124" s="412"/>
      <c r="G124" s="36"/>
      <c r="H124" s="162"/>
      <c r="I124" s="162" t="s">
        <v>213</v>
      </c>
      <c r="J124" s="128"/>
      <c r="K124" s="208">
        <v>635000</v>
      </c>
      <c r="L124" s="217">
        <f t="shared" si="107"/>
        <v>635000</v>
      </c>
      <c r="M124" s="217">
        <v>1000000</v>
      </c>
      <c r="N124" s="217"/>
      <c r="O124" s="217"/>
      <c r="P124" s="217"/>
      <c r="Q124" s="217"/>
      <c r="R124" s="217"/>
      <c r="S124" s="217">
        <f t="shared" si="102"/>
        <v>1000000</v>
      </c>
      <c r="T124" s="217">
        <f t="shared" si="103"/>
        <v>1635000</v>
      </c>
      <c r="U124" s="217"/>
      <c r="V124" s="217"/>
      <c r="W124" s="217"/>
      <c r="X124" s="217"/>
      <c r="Y124" s="217"/>
      <c r="Z124" s="217">
        <f t="shared" si="104"/>
        <v>0</v>
      </c>
      <c r="AA124" s="217">
        <f>Z124+T124</f>
        <v>1635000</v>
      </c>
      <c r="AB124" s="217"/>
      <c r="AC124" s="217"/>
      <c r="AD124" s="217"/>
      <c r="AE124" s="217"/>
      <c r="AF124" s="217"/>
      <c r="AG124" s="217">
        <f t="shared" si="108"/>
        <v>0</v>
      </c>
      <c r="AH124" s="217">
        <f t="shared" si="109"/>
        <v>1635000</v>
      </c>
      <c r="AI124" s="217">
        <v>569135</v>
      </c>
      <c r="AJ124" s="764">
        <f t="shared" si="106"/>
        <v>34.80948012232416</v>
      </c>
    </row>
    <row r="125" spans="1:36" ht="13.5" customHeight="1">
      <c r="A125" s="410"/>
      <c r="B125" s="410"/>
      <c r="C125" s="411"/>
      <c r="D125" s="411">
        <v>7</v>
      </c>
      <c r="E125" s="411" t="s">
        <v>199</v>
      </c>
      <c r="F125" s="412"/>
      <c r="G125" s="36"/>
      <c r="H125" s="162"/>
      <c r="I125" s="162" t="s">
        <v>214</v>
      </c>
      <c r="J125" s="128"/>
      <c r="K125" s="208">
        <v>1207000</v>
      </c>
      <c r="L125" s="217">
        <f t="shared" si="107"/>
        <v>1207000</v>
      </c>
      <c r="M125" s="217"/>
      <c r="N125" s="217"/>
      <c r="O125" s="217"/>
      <c r="P125" s="217"/>
      <c r="Q125" s="217">
        <v>13000000</v>
      </c>
      <c r="R125" s="217"/>
      <c r="S125" s="217">
        <f t="shared" si="102"/>
        <v>13000000</v>
      </c>
      <c r="T125" s="217">
        <f t="shared" si="103"/>
        <v>14207000</v>
      </c>
      <c r="U125" s="217"/>
      <c r="V125" s="217"/>
      <c r="W125" s="217"/>
      <c r="X125" s="217"/>
      <c r="Y125" s="217"/>
      <c r="Z125" s="217">
        <f t="shared" si="104"/>
        <v>0</v>
      </c>
      <c r="AA125" s="217">
        <f>Z125+T125</f>
        <v>14207000</v>
      </c>
      <c r="AB125" s="217"/>
      <c r="AC125" s="217"/>
      <c r="AD125" s="217"/>
      <c r="AE125" s="217">
        <v>3863012</v>
      </c>
      <c r="AF125" s="217"/>
      <c r="AG125" s="217">
        <f t="shared" si="108"/>
        <v>3863012</v>
      </c>
      <c r="AH125" s="217">
        <f t="shared" si="109"/>
        <v>18070012</v>
      </c>
      <c r="AI125" s="217">
        <v>9196315</v>
      </c>
      <c r="AJ125" s="764">
        <f t="shared" si="106"/>
        <v>50.892688947854602</v>
      </c>
    </row>
    <row r="126" spans="1:36" ht="13.5" customHeight="1">
      <c r="A126" s="410"/>
      <c r="B126" s="410"/>
      <c r="C126" s="411"/>
      <c r="D126" s="411">
        <v>7</v>
      </c>
      <c r="E126" s="411" t="s">
        <v>198</v>
      </c>
      <c r="F126" s="412"/>
      <c r="G126" s="36"/>
      <c r="H126" s="162"/>
      <c r="I126" s="162" t="s">
        <v>214</v>
      </c>
      <c r="J126" s="128"/>
      <c r="K126" s="208"/>
      <c r="L126" s="217">
        <f t="shared" si="107"/>
        <v>0</v>
      </c>
      <c r="M126" s="217"/>
      <c r="N126" s="217"/>
      <c r="O126" s="217"/>
      <c r="P126" s="217"/>
      <c r="Q126" s="217"/>
      <c r="R126" s="217"/>
      <c r="S126" s="217">
        <f t="shared" si="102"/>
        <v>0</v>
      </c>
      <c r="T126" s="217">
        <f t="shared" si="103"/>
        <v>0</v>
      </c>
      <c r="U126" s="217"/>
      <c r="V126" s="217"/>
      <c r="W126" s="217"/>
      <c r="X126" s="217"/>
      <c r="Y126" s="217"/>
      <c r="Z126" s="217">
        <f t="shared" si="104"/>
        <v>0</v>
      </c>
      <c r="AA126" s="217">
        <f>Z126+T126</f>
        <v>0</v>
      </c>
      <c r="AB126" s="217"/>
      <c r="AC126" s="217"/>
      <c r="AD126" s="217"/>
      <c r="AE126" s="217"/>
      <c r="AF126" s="217"/>
      <c r="AG126" s="217">
        <f t="shared" si="108"/>
        <v>0</v>
      </c>
      <c r="AH126" s="217">
        <f t="shared" si="109"/>
        <v>0</v>
      </c>
      <c r="AI126" s="217"/>
      <c r="AJ126" s="764"/>
    </row>
    <row r="127" spans="1:36" ht="13.5" customHeight="1">
      <c r="A127" s="410"/>
      <c r="B127" s="410"/>
      <c r="C127" s="411"/>
      <c r="D127" s="411"/>
      <c r="E127" s="411"/>
      <c r="F127" s="412"/>
      <c r="G127" s="36"/>
      <c r="H127" s="162"/>
      <c r="I127" s="162"/>
      <c r="J127" s="128"/>
      <c r="K127" s="208"/>
      <c r="L127" s="217"/>
      <c r="M127" s="217"/>
      <c r="N127" s="217"/>
      <c r="O127" s="217"/>
      <c r="P127" s="217"/>
      <c r="Q127" s="217"/>
      <c r="R127" s="217"/>
      <c r="S127" s="217"/>
      <c r="T127" s="217"/>
      <c r="U127" s="217"/>
      <c r="V127" s="217"/>
      <c r="W127" s="217"/>
      <c r="X127" s="217"/>
      <c r="Y127" s="217"/>
      <c r="Z127" s="217"/>
      <c r="AA127" s="217"/>
      <c r="AB127" s="217"/>
      <c r="AC127" s="217"/>
      <c r="AD127" s="217"/>
      <c r="AE127" s="217"/>
      <c r="AF127" s="217"/>
      <c r="AG127" s="217"/>
      <c r="AH127" s="217"/>
      <c r="AI127" s="217"/>
      <c r="AJ127" s="764"/>
    </row>
    <row r="128" spans="1:36" ht="13.5" customHeight="1">
      <c r="A128" s="410"/>
      <c r="B128" s="410"/>
      <c r="C128" s="411"/>
      <c r="D128" s="411"/>
      <c r="E128" s="411"/>
      <c r="F128" s="413" t="s">
        <v>37</v>
      </c>
      <c r="G128" s="413"/>
      <c r="H128" s="414"/>
      <c r="I128" s="413"/>
      <c r="J128" s="415">
        <f>SUM(J114:J126)</f>
        <v>1086463186</v>
      </c>
      <c r="K128" s="416">
        <f>SUM(K114:K126)</f>
        <v>11221000</v>
      </c>
      <c r="L128" s="415">
        <f>SUM(L114:L126)</f>
        <v>1097684186</v>
      </c>
      <c r="M128" s="415">
        <f>SUM(M114:M126)</f>
        <v>32319595</v>
      </c>
      <c r="N128" s="415"/>
      <c r="O128" s="415"/>
      <c r="P128" s="415"/>
      <c r="Q128" s="415">
        <f t="shared" ref="Q128:S128" si="110">SUM(Q114:Q127)</f>
        <v>14693266</v>
      </c>
      <c r="R128" s="415">
        <f t="shared" si="110"/>
        <v>2134536</v>
      </c>
      <c r="S128" s="415">
        <f t="shared" si="110"/>
        <v>49147397</v>
      </c>
      <c r="T128" s="415">
        <f>SUM(T114:T127)</f>
        <v>1146831583</v>
      </c>
      <c r="U128" s="415"/>
      <c r="V128" s="415">
        <f t="shared" ref="V128:Z128" si="111">SUM(V114:V127)</f>
        <v>4910000</v>
      </c>
      <c r="W128" s="415"/>
      <c r="X128" s="415">
        <f t="shared" si="111"/>
        <v>766472</v>
      </c>
      <c r="Y128" s="415">
        <f t="shared" si="111"/>
        <v>2357386</v>
      </c>
      <c r="Z128" s="415">
        <f t="shared" si="111"/>
        <v>8033858</v>
      </c>
      <c r="AA128" s="415">
        <f>SUM(AA114:AA127)</f>
        <v>1154865441</v>
      </c>
      <c r="AB128" s="415"/>
      <c r="AC128" s="415">
        <f t="shared" ref="AC128" si="112">SUM(AC114:AC127)</f>
        <v>61456482</v>
      </c>
      <c r="AD128" s="415"/>
      <c r="AE128" s="415">
        <f t="shared" ref="AE128:AG128" si="113">SUM(AE114:AE127)</f>
        <v>5346484</v>
      </c>
      <c r="AF128" s="415">
        <f t="shared" si="113"/>
        <v>7916483</v>
      </c>
      <c r="AG128" s="415">
        <f t="shared" si="113"/>
        <v>74719449</v>
      </c>
      <c r="AH128" s="415">
        <f>SUM(AH114:AH127)</f>
        <v>1229584890</v>
      </c>
      <c r="AI128" s="415">
        <f>SUM(AI114:AI127)</f>
        <v>1189259397</v>
      </c>
      <c r="AJ128" s="765">
        <f>AI128/AH128*100</f>
        <v>96.720397808401827</v>
      </c>
    </row>
    <row r="129" spans="1:36" ht="13.5" customHeight="1">
      <c r="A129" s="410"/>
      <c r="B129" s="410"/>
      <c r="C129" s="411"/>
      <c r="D129" s="411"/>
      <c r="E129" s="411"/>
      <c r="F129" s="417"/>
      <c r="G129" s="417"/>
      <c r="H129" s="418"/>
      <c r="I129" s="417"/>
      <c r="J129" s="419"/>
      <c r="K129" s="420"/>
      <c r="L129" s="421"/>
      <c r="M129" s="421"/>
      <c r="N129" s="421"/>
      <c r="O129" s="421"/>
      <c r="P129" s="421"/>
      <c r="Q129" s="421"/>
      <c r="R129" s="421"/>
      <c r="S129" s="421"/>
      <c r="T129" s="421"/>
      <c r="U129" s="421"/>
      <c r="V129" s="421"/>
      <c r="W129" s="421"/>
      <c r="X129" s="421"/>
      <c r="Y129" s="421"/>
      <c r="Z129" s="421"/>
      <c r="AA129" s="421"/>
      <c r="AB129" s="421"/>
      <c r="AC129" s="421"/>
      <c r="AD129" s="421"/>
      <c r="AE129" s="421"/>
      <c r="AF129" s="421"/>
      <c r="AG129" s="421"/>
      <c r="AH129" s="421"/>
      <c r="AI129" s="421"/>
      <c r="AJ129" s="766"/>
    </row>
    <row r="130" spans="1:36" ht="13.5" customHeight="1">
      <c r="A130" s="410">
        <v>11</v>
      </c>
      <c r="B130" s="410"/>
      <c r="C130" s="411"/>
      <c r="D130" s="411"/>
      <c r="E130" s="411"/>
      <c r="F130" s="412" t="s">
        <v>39</v>
      </c>
      <c r="G130" s="36"/>
      <c r="H130" s="162"/>
      <c r="I130" s="36"/>
      <c r="J130" s="419"/>
      <c r="K130" s="420"/>
      <c r="L130" s="421"/>
      <c r="M130" s="421"/>
      <c r="N130" s="421"/>
      <c r="O130" s="421"/>
      <c r="P130" s="421"/>
      <c r="Q130" s="421"/>
      <c r="R130" s="421"/>
      <c r="S130" s="421"/>
      <c r="T130" s="421"/>
      <c r="U130" s="421"/>
      <c r="V130" s="421"/>
      <c r="W130" s="421"/>
      <c r="X130" s="421"/>
      <c r="Y130" s="421"/>
      <c r="Z130" s="421"/>
      <c r="AA130" s="421"/>
      <c r="AB130" s="421"/>
      <c r="AC130" s="421"/>
      <c r="AD130" s="421"/>
      <c r="AE130" s="421"/>
      <c r="AF130" s="421"/>
      <c r="AG130" s="421"/>
      <c r="AH130" s="421"/>
      <c r="AI130" s="421"/>
      <c r="AJ130" s="766"/>
    </row>
    <row r="131" spans="1:36" ht="13.5" customHeight="1">
      <c r="A131" s="410"/>
      <c r="B131" s="410"/>
      <c r="C131" s="411">
        <v>1</v>
      </c>
      <c r="D131" s="411"/>
      <c r="E131" s="411"/>
      <c r="F131" s="412"/>
      <c r="G131" s="36"/>
      <c r="H131" s="162" t="s">
        <v>35</v>
      </c>
      <c r="I131" s="36"/>
      <c r="J131" s="419"/>
      <c r="K131" s="420"/>
      <c r="L131" s="421"/>
      <c r="M131" s="421"/>
      <c r="N131" s="421"/>
      <c r="O131" s="421"/>
      <c r="P131" s="421"/>
      <c r="Q131" s="421"/>
      <c r="R131" s="421"/>
      <c r="S131" s="421"/>
      <c r="T131" s="421"/>
      <c r="U131" s="421"/>
      <c r="V131" s="421"/>
      <c r="W131" s="421"/>
      <c r="X131" s="421"/>
      <c r="Y131" s="421"/>
      <c r="Z131" s="421"/>
      <c r="AA131" s="421"/>
      <c r="AB131" s="421"/>
      <c r="AC131" s="421"/>
      <c r="AD131" s="421"/>
      <c r="AE131" s="421"/>
      <c r="AF131" s="421"/>
      <c r="AG131" s="421"/>
      <c r="AH131" s="421"/>
      <c r="AI131" s="421"/>
      <c r="AJ131" s="766"/>
    </row>
    <row r="132" spans="1:36" ht="13.5" customHeight="1">
      <c r="A132" s="410"/>
      <c r="B132" s="410"/>
      <c r="C132" s="411"/>
      <c r="D132" s="411">
        <v>1</v>
      </c>
      <c r="E132" s="411" t="s">
        <v>199</v>
      </c>
      <c r="F132" s="412"/>
      <c r="G132" s="36"/>
      <c r="H132" s="162"/>
      <c r="I132" s="162" t="s">
        <v>180</v>
      </c>
      <c r="J132" s="128">
        <v>178837725</v>
      </c>
      <c r="K132" s="208"/>
      <c r="L132" s="217">
        <f>SUM(J132:K132)</f>
        <v>178837725</v>
      </c>
      <c r="M132" s="217">
        <v>1133751</v>
      </c>
      <c r="N132" s="217"/>
      <c r="O132" s="217"/>
      <c r="P132" s="217"/>
      <c r="Q132" s="217">
        <v>7409214</v>
      </c>
      <c r="R132" s="217">
        <v>221615</v>
      </c>
      <c r="S132" s="217">
        <f t="shared" ref="S132:S136" si="114">SUM(M132:R132)</f>
        <v>8764580</v>
      </c>
      <c r="T132" s="217">
        <f t="shared" ref="T132:T136" si="115">S132+L132</f>
        <v>187602305</v>
      </c>
      <c r="U132" s="217"/>
      <c r="V132" s="217"/>
      <c r="W132" s="217"/>
      <c r="X132" s="217">
        <v>3357645</v>
      </c>
      <c r="Y132" s="217">
        <v>199940</v>
      </c>
      <c r="Z132" s="217">
        <f>SUM(U132:Y132)</f>
        <v>3557585</v>
      </c>
      <c r="AA132" s="217">
        <f>Z132+T132</f>
        <v>191159890</v>
      </c>
      <c r="AB132" s="217"/>
      <c r="AC132" s="217">
        <f>4299000+2358138-262010</f>
        <v>6395128</v>
      </c>
      <c r="AD132" s="217"/>
      <c r="AE132" s="217">
        <f>400000+228603+3107264</f>
        <v>3735867</v>
      </c>
      <c r="AF132" s="217">
        <v>350000</v>
      </c>
      <c r="AG132" s="217">
        <f>SUM(AB132:AF132)</f>
        <v>10480995</v>
      </c>
      <c r="AH132" s="217">
        <f>AG132+AA132</f>
        <v>201640885</v>
      </c>
      <c r="AI132" s="217">
        <v>179915795</v>
      </c>
      <c r="AJ132" s="764">
        <f t="shared" ref="AJ132:AJ137" si="116">AI132/AH132*100</f>
        <v>89.2258506998717</v>
      </c>
    </row>
    <row r="133" spans="1:36" ht="13.5" customHeight="1">
      <c r="A133" s="410"/>
      <c r="B133" s="410"/>
      <c r="C133" s="411"/>
      <c r="D133" s="411">
        <v>2</v>
      </c>
      <c r="E133" s="411" t="s">
        <v>199</v>
      </c>
      <c r="F133" s="412"/>
      <c r="G133" s="36"/>
      <c r="H133" s="162"/>
      <c r="I133" s="162" t="s">
        <v>182</v>
      </c>
      <c r="J133" s="128">
        <v>36420443</v>
      </c>
      <c r="K133" s="208"/>
      <c r="L133" s="217">
        <f>SUM(J133:K133)</f>
        <v>36420443</v>
      </c>
      <c r="M133" s="217">
        <v>372692</v>
      </c>
      <c r="N133" s="217"/>
      <c r="O133" s="217"/>
      <c r="P133" s="217"/>
      <c r="Q133" s="217">
        <v>1467300</v>
      </c>
      <c r="R133" s="217">
        <v>16673</v>
      </c>
      <c r="S133" s="217">
        <f t="shared" si="114"/>
        <v>1856665</v>
      </c>
      <c r="T133" s="217">
        <f t="shared" si="115"/>
        <v>38277108</v>
      </c>
      <c r="U133" s="217"/>
      <c r="V133" s="217"/>
      <c r="W133" s="217"/>
      <c r="X133" s="217">
        <v>654741</v>
      </c>
      <c r="Y133" s="217">
        <v>21060</v>
      </c>
      <c r="Z133" s="217">
        <f>SUM(U133:Y133)</f>
        <v>675801</v>
      </c>
      <c r="AA133" s="217">
        <f>Z133+T133</f>
        <v>38952909</v>
      </c>
      <c r="AB133" s="217"/>
      <c r="AC133" s="217">
        <f>1227000-2358138+413189</f>
        <v>-717949</v>
      </c>
      <c r="AD133" s="217"/>
      <c r="AE133" s="217">
        <f>78000+44577+605917</f>
        <v>728494</v>
      </c>
      <c r="AF133" s="217"/>
      <c r="AG133" s="217">
        <f t="shared" ref="AG133:AG136" si="117">SUM(AB133:AF133)</f>
        <v>10545</v>
      </c>
      <c r="AH133" s="217">
        <f t="shared" ref="AH133:AH137" si="118">AG133+AA133</f>
        <v>38963454</v>
      </c>
      <c r="AI133" s="217">
        <v>34366820</v>
      </c>
      <c r="AJ133" s="764">
        <f t="shared" si="116"/>
        <v>88.202704000523156</v>
      </c>
    </row>
    <row r="134" spans="1:36" ht="13.5" customHeight="1">
      <c r="A134" s="410"/>
      <c r="B134" s="410"/>
      <c r="C134" s="411"/>
      <c r="D134" s="411">
        <v>3</v>
      </c>
      <c r="E134" s="411" t="s">
        <v>199</v>
      </c>
      <c r="F134" s="412"/>
      <c r="G134" s="36"/>
      <c r="H134" s="162"/>
      <c r="I134" s="162" t="s">
        <v>116</v>
      </c>
      <c r="J134" s="128">
        <v>114181895</v>
      </c>
      <c r="K134" s="208"/>
      <c r="L134" s="217">
        <f>SUM(J134:K134)</f>
        <v>114181895</v>
      </c>
      <c r="M134" s="217">
        <v>1628004</v>
      </c>
      <c r="N134" s="217"/>
      <c r="O134" s="217"/>
      <c r="P134" s="217"/>
      <c r="Q134" s="217">
        <v>2594110</v>
      </c>
      <c r="R134" s="217">
        <f>4470487-2000000</f>
        <v>2470487</v>
      </c>
      <c r="S134" s="217">
        <f t="shared" si="114"/>
        <v>6692601</v>
      </c>
      <c r="T134" s="217">
        <f>S134+L134</f>
        <v>120874496</v>
      </c>
      <c r="U134" s="217"/>
      <c r="V134" s="217">
        <v>2000000</v>
      </c>
      <c r="W134" s="217"/>
      <c r="X134" s="217">
        <v>220000</v>
      </c>
      <c r="Y134" s="217">
        <v>1279000</v>
      </c>
      <c r="Z134" s="217">
        <f>SUM(U134:Y134)</f>
        <v>3499000</v>
      </c>
      <c r="AA134" s="217">
        <f>Z134+T134</f>
        <v>124373496</v>
      </c>
      <c r="AB134" s="217"/>
      <c r="AC134" s="217">
        <f>-5526000-1211725-151179-700000</f>
        <v>-7588904</v>
      </c>
      <c r="AD134" s="217"/>
      <c r="AE134" s="217">
        <v>209370</v>
      </c>
      <c r="AF134" s="217">
        <v>500000</v>
      </c>
      <c r="AG134" s="217">
        <f t="shared" si="117"/>
        <v>-6879534</v>
      </c>
      <c r="AH134" s="217">
        <f t="shared" si="118"/>
        <v>117493962</v>
      </c>
      <c r="AI134" s="217">
        <v>96288356</v>
      </c>
      <c r="AJ134" s="764">
        <f t="shared" si="116"/>
        <v>81.951748294946427</v>
      </c>
    </row>
    <row r="135" spans="1:36" ht="13.5" customHeight="1">
      <c r="A135" s="410"/>
      <c r="B135" s="410"/>
      <c r="C135" s="411">
        <v>2</v>
      </c>
      <c r="D135" s="411"/>
      <c r="E135" s="411"/>
      <c r="F135" s="412"/>
      <c r="G135" s="36"/>
      <c r="H135" s="162" t="s">
        <v>211</v>
      </c>
      <c r="I135" s="162"/>
      <c r="J135" s="128"/>
      <c r="K135" s="208"/>
      <c r="L135" s="217"/>
      <c r="M135" s="217"/>
      <c r="N135" s="217"/>
      <c r="O135" s="217"/>
      <c r="P135" s="217"/>
      <c r="Q135" s="217"/>
      <c r="R135" s="217"/>
      <c r="S135" s="217">
        <f t="shared" si="114"/>
        <v>0</v>
      </c>
      <c r="T135" s="217"/>
      <c r="U135" s="217"/>
      <c r="V135" s="217"/>
      <c r="W135" s="217"/>
      <c r="X135" s="217"/>
      <c r="Y135" s="217"/>
      <c r="Z135" s="217">
        <f>SUM(U135:Y135)</f>
        <v>0</v>
      </c>
      <c r="AA135" s="217"/>
      <c r="AB135" s="217"/>
      <c r="AC135" s="217"/>
      <c r="AD135" s="217"/>
      <c r="AE135" s="217"/>
      <c r="AF135" s="217"/>
      <c r="AG135" s="217"/>
      <c r="AH135" s="217"/>
      <c r="AI135" s="217"/>
      <c r="AJ135" s="764"/>
    </row>
    <row r="136" spans="1:36" ht="13.5" customHeight="1">
      <c r="A136" s="410"/>
      <c r="B136" s="410"/>
      <c r="C136" s="411"/>
      <c r="D136" s="411">
        <v>6</v>
      </c>
      <c r="E136" s="411" t="s">
        <v>199</v>
      </c>
      <c r="F136" s="412"/>
      <c r="G136" s="36"/>
      <c r="H136" s="162"/>
      <c r="I136" s="162" t="s">
        <v>213</v>
      </c>
      <c r="J136" s="128"/>
      <c r="K136" s="208">
        <v>173153394</v>
      </c>
      <c r="L136" s="217">
        <f>SUM(J136:K136)</f>
        <v>173153394</v>
      </c>
      <c r="M136" s="217">
        <v>1200000</v>
      </c>
      <c r="N136" s="217">
        <v>1235489</v>
      </c>
      <c r="O136" s="217"/>
      <c r="P136" s="217"/>
      <c r="Q136" s="217"/>
      <c r="R136" s="217">
        <v>6000</v>
      </c>
      <c r="S136" s="217">
        <f t="shared" si="114"/>
        <v>2441489</v>
      </c>
      <c r="T136" s="217">
        <f t="shared" si="115"/>
        <v>175594883</v>
      </c>
      <c r="U136" s="217"/>
      <c r="V136" s="217"/>
      <c r="W136" s="217"/>
      <c r="X136" s="217"/>
      <c r="Y136" s="217">
        <v>116531</v>
      </c>
      <c r="Z136" s="217">
        <f>SUM(U136:Y136)</f>
        <v>116531</v>
      </c>
      <c r="AA136" s="217">
        <f>Z136+T136</f>
        <v>175711414</v>
      </c>
      <c r="AB136" s="217"/>
      <c r="AC136" s="217">
        <f>700000+1211725-2448560</f>
        <v>-536835</v>
      </c>
      <c r="AD136" s="217"/>
      <c r="AE136" s="217"/>
      <c r="AF136" s="217">
        <f>1200000+3000+100000</f>
        <v>1303000</v>
      </c>
      <c r="AG136" s="217">
        <f t="shared" si="117"/>
        <v>766165</v>
      </c>
      <c r="AH136" s="217">
        <f t="shared" si="118"/>
        <v>176477579</v>
      </c>
      <c r="AI136" s="217">
        <v>111652281</v>
      </c>
      <c r="AJ136" s="764">
        <f t="shared" si="116"/>
        <v>63.26711961523452</v>
      </c>
    </row>
    <row r="137" spans="1:36" ht="13.5" customHeight="1">
      <c r="A137" s="410"/>
      <c r="B137" s="410"/>
      <c r="C137" s="411"/>
      <c r="D137" s="411">
        <v>7</v>
      </c>
      <c r="E137" s="411" t="s">
        <v>199</v>
      </c>
      <c r="F137" s="425"/>
      <c r="G137" s="36"/>
      <c r="H137" s="162"/>
      <c r="I137" s="162" t="s">
        <v>214</v>
      </c>
      <c r="J137" s="128"/>
      <c r="K137" s="426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  <c r="AA137" s="128"/>
      <c r="AB137" s="128"/>
      <c r="AC137" s="128">
        <v>2448560</v>
      </c>
      <c r="AD137" s="128"/>
      <c r="AE137" s="128"/>
      <c r="AF137" s="217"/>
      <c r="AG137" s="217">
        <f t="shared" ref="AG137" si="119">SUM(AB137:AF137)</f>
        <v>2448560</v>
      </c>
      <c r="AH137" s="217">
        <f t="shared" si="118"/>
        <v>2448560</v>
      </c>
      <c r="AI137" s="128">
        <v>2448560</v>
      </c>
      <c r="AJ137" s="764">
        <f t="shared" si="116"/>
        <v>100</v>
      </c>
    </row>
    <row r="138" spans="1:36" ht="13.5" customHeight="1">
      <c r="A138" s="410"/>
      <c r="B138" s="410"/>
      <c r="C138" s="411"/>
      <c r="D138" s="411"/>
      <c r="E138" s="411"/>
      <c r="F138" s="412"/>
      <c r="G138" s="36"/>
      <c r="H138" s="162"/>
      <c r="I138" s="162"/>
      <c r="J138" s="128"/>
      <c r="K138" s="208"/>
      <c r="L138" s="217"/>
      <c r="M138" s="217"/>
      <c r="N138" s="217"/>
      <c r="O138" s="217"/>
      <c r="P138" s="217"/>
      <c r="Q138" s="217"/>
      <c r="R138" s="217"/>
      <c r="S138" s="217"/>
      <c r="T138" s="217"/>
      <c r="U138" s="217"/>
      <c r="V138" s="217"/>
      <c r="W138" s="217"/>
      <c r="X138" s="217"/>
      <c r="Y138" s="217"/>
      <c r="Z138" s="217"/>
      <c r="AA138" s="217"/>
      <c r="AB138" s="217"/>
      <c r="AC138" s="217"/>
      <c r="AD138" s="217"/>
      <c r="AE138" s="217"/>
      <c r="AF138" s="217"/>
      <c r="AG138" s="217"/>
      <c r="AH138" s="217"/>
      <c r="AI138" s="217"/>
      <c r="AJ138" s="764"/>
    </row>
    <row r="139" spans="1:36" ht="13.5" customHeight="1">
      <c r="A139" s="410"/>
      <c r="B139" s="410"/>
      <c r="C139" s="411"/>
      <c r="D139" s="411"/>
      <c r="E139" s="411"/>
      <c r="F139" s="413" t="s">
        <v>37</v>
      </c>
      <c r="G139" s="413"/>
      <c r="H139" s="414"/>
      <c r="I139" s="413"/>
      <c r="J139" s="415">
        <f>SUM(J132:J138)</f>
        <v>329440063</v>
      </c>
      <c r="K139" s="416">
        <f>SUM(K132:K138)</f>
        <v>173153394</v>
      </c>
      <c r="L139" s="415">
        <f>SUM(L132:L138)</f>
        <v>502593457</v>
      </c>
      <c r="M139" s="415">
        <f>SUM(M132:M138)</f>
        <v>4334447</v>
      </c>
      <c r="N139" s="415">
        <f t="shared" ref="N139:S139" si="120">SUM(N132:N138)</f>
        <v>1235489</v>
      </c>
      <c r="O139" s="415">
        <f t="shared" si="120"/>
        <v>0</v>
      </c>
      <c r="P139" s="415">
        <f t="shared" si="120"/>
        <v>0</v>
      </c>
      <c r="Q139" s="415">
        <f t="shared" si="120"/>
        <v>11470624</v>
      </c>
      <c r="R139" s="415">
        <f t="shared" si="120"/>
        <v>2714775</v>
      </c>
      <c r="S139" s="415">
        <f t="shared" si="120"/>
        <v>19755335</v>
      </c>
      <c r="T139" s="415">
        <f>SUM(T132:T138)</f>
        <v>522348792</v>
      </c>
      <c r="U139" s="415"/>
      <c r="V139" s="415">
        <f t="shared" ref="V139:Z139" si="121">SUM(V132:V138)</f>
        <v>2000000</v>
      </c>
      <c r="W139" s="415"/>
      <c r="X139" s="415">
        <f t="shared" si="121"/>
        <v>4232386</v>
      </c>
      <c r="Y139" s="415">
        <f t="shared" si="121"/>
        <v>1616531</v>
      </c>
      <c r="Z139" s="415">
        <f t="shared" si="121"/>
        <v>7848917</v>
      </c>
      <c r="AA139" s="415">
        <f>SUM(AA132:AA138)</f>
        <v>530197709</v>
      </c>
      <c r="AB139" s="415">
        <f t="shared" ref="AB139:AC139" si="122">SUM(AB132:AB138)</f>
        <v>0</v>
      </c>
      <c r="AC139" s="415">
        <f t="shared" si="122"/>
        <v>0</v>
      </c>
      <c r="AD139" s="415"/>
      <c r="AE139" s="415">
        <f t="shared" ref="AE139:AG139" si="123">SUM(AE132:AE138)</f>
        <v>4673731</v>
      </c>
      <c r="AF139" s="415">
        <f t="shared" si="123"/>
        <v>2153000</v>
      </c>
      <c r="AG139" s="415">
        <f t="shared" si="123"/>
        <v>6826731</v>
      </c>
      <c r="AH139" s="415">
        <f>SUM(AH132:AH138)</f>
        <v>537024440</v>
      </c>
      <c r="AI139" s="415">
        <f>SUM(AI132:AI138)</f>
        <v>424671812</v>
      </c>
      <c r="AJ139" s="765">
        <f>AI139/AH139*100</f>
        <v>79.078675078549495</v>
      </c>
    </row>
    <row r="140" spans="1:36" s="45" customFormat="1" ht="13.5" customHeight="1">
      <c r="A140" s="103"/>
      <c r="B140" s="103"/>
      <c r="C140" s="104"/>
      <c r="D140" s="104"/>
      <c r="E140" s="104"/>
      <c r="F140" s="6"/>
      <c r="G140" s="7"/>
      <c r="H140" s="7"/>
      <c r="I140" s="8"/>
      <c r="J140" s="46"/>
      <c r="K140" s="159"/>
      <c r="L140" s="157"/>
      <c r="M140" s="157"/>
      <c r="N140" s="157"/>
      <c r="O140" s="157"/>
      <c r="P140" s="157"/>
      <c r="Q140" s="157"/>
      <c r="R140" s="157"/>
      <c r="S140" s="157"/>
      <c r="T140" s="157"/>
      <c r="U140" s="157"/>
      <c r="V140" s="157"/>
      <c r="W140" s="157"/>
      <c r="X140" s="157"/>
      <c r="Y140" s="157"/>
      <c r="Z140" s="157"/>
      <c r="AA140" s="157"/>
      <c r="AB140" s="157"/>
      <c r="AC140" s="157"/>
      <c r="AD140" s="157"/>
      <c r="AE140" s="157"/>
      <c r="AF140" s="157"/>
      <c r="AG140" s="157"/>
      <c r="AH140" s="157"/>
      <c r="AI140" s="157"/>
      <c r="AJ140" s="749"/>
    </row>
    <row r="141" spans="1:36" s="45" customFormat="1" ht="13.5" customHeight="1">
      <c r="A141" s="103">
        <v>12</v>
      </c>
      <c r="C141" s="104"/>
      <c r="D141" s="104"/>
      <c r="E141" s="104"/>
      <c r="F141" s="664" t="s">
        <v>194</v>
      </c>
      <c r="G141" s="662"/>
      <c r="H141" s="662"/>
      <c r="I141" s="661"/>
      <c r="J141" s="46"/>
      <c r="K141" s="159"/>
      <c r="L141" s="157"/>
      <c r="M141" s="157"/>
      <c r="N141" s="157"/>
      <c r="O141" s="157"/>
      <c r="P141" s="157"/>
      <c r="Q141" s="157"/>
      <c r="R141" s="157"/>
      <c r="S141" s="157"/>
      <c r="T141" s="157"/>
      <c r="U141" s="157"/>
      <c r="V141" s="157"/>
      <c r="W141" s="157"/>
      <c r="X141" s="157"/>
      <c r="Y141" s="157"/>
      <c r="Z141" s="157"/>
      <c r="AA141" s="157"/>
      <c r="AB141" s="157"/>
      <c r="AC141" s="157"/>
      <c r="AD141" s="157"/>
      <c r="AE141" s="157"/>
      <c r="AF141" s="157"/>
      <c r="AG141" s="157"/>
      <c r="AH141" s="157"/>
      <c r="AI141" s="157"/>
      <c r="AJ141" s="749"/>
    </row>
    <row r="142" spans="1:36" s="45" customFormat="1" ht="13.5" customHeight="1">
      <c r="A142" s="103"/>
      <c r="C142" s="411">
        <v>1</v>
      </c>
      <c r="D142" s="411"/>
      <c r="E142" s="411"/>
      <c r="F142" s="412"/>
      <c r="G142" s="36"/>
      <c r="H142" s="162" t="s">
        <v>35</v>
      </c>
      <c r="I142" s="36"/>
      <c r="J142" s="46"/>
      <c r="K142" s="159"/>
      <c r="L142" s="157"/>
      <c r="M142" s="157"/>
      <c r="N142" s="157"/>
      <c r="O142" s="157"/>
      <c r="P142" s="157"/>
      <c r="Q142" s="157"/>
      <c r="R142" s="157"/>
      <c r="S142" s="157"/>
      <c r="T142" s="157"/>
      <c r="U142" s="157"/>
      <c r="V142" s="157"/>
      <c r="W142" s="157"/>
      <c r="X142" s="157"/>
      <c r="Y142" s="157"/>
      <c r="Z142" s="157"/>
      <c r="AA142" s="157"/>
      <c r="AB142" s="157"/>
      <c r="AC142" s="157"/>
      <c r="AD142" s="157"/>
      <c r="AE142" s="157"/>
      <c r="AF142" s="157"/>
      <c r="AG142" s="157"/>
      <c r="AH142" s="157"/>
      <c r="AI142" s="157"/>
      <c r="AJ142" s="749"/>
    </row>
    <row r="143" spans="1:36" s="45" customFormat="1" ht="13.5" customHeight="1">
      <c r="A143" s="103"/>
      <c r="C143" s="411"/>
      <c r="D143" s="411">
        <v>1</v>
      </c>
      <c r="E143" s="411" t="s">
        <v>199</v>
      </c>
      <c r="F143" s="412"/>
      <c r="G143" s="36"/>
      <c r="H143" s="162"/>
      <c r="I143" s="162" t="s">
        <v>180</v>
      </c>
      <c r="J143" s="128">
        <v>290973246</v>
      </c>
      <c r="K143" s="208"/>
      <c r="L143" s="217">
        <f t="shared" ref="L143:L148" si="124">SUM(J143:K143)</f>
        <v>290973246</v>
      </c>
      <c r="M143" s="217">
        <v>36212585</v>
      </c>
      <c r="N143" s="217"/>
      <c r="O143" s="217"/>
      <c r="P143" s="217"/>
      <c r="Q143" s="217">
        <v>8188774</v>
      </c>
      <c r="R143" s="217">
        <v>11627877</v>
      </c>
      <c r="S143" s="217">
        <f t="shared" ref="S143:S148" si="125">SUM(M143:R143)</f>
        <v>56029236</v>
      </c>
      <c r="T143" s="217">
        <f t="shared" ref="T143:T148" si="126">S143+L143</f>
        <v>347002482</v>
      </c>
      <c r="U143" s="217"/>
      <c r="V143" s="217"/>
      <c r="W143" s="217"/>
      <c r="X143" s="217">
        <v>4284503</v>
      </c>
      <c r="Y143" s="217">
        <v>2858458</v>
      </c>
      <c r="Z143" s="217">
        <f t="shared" ref="Z143:Z148" si="127">SUM(U143:Y143)</f>
        <v>7142961</v>
      </c>
      <c r="AA143" s="217">
        <f>Z143+T143</f>
        <v>354145443</v>
      </c>
      <c r="AB143" s="217"/>
      <c r="AC143" s="217">
        <f>23000000+13612389-24686000</f>
        <v>11926389</v>
      </c>
      <c r="AD143" s="217"/>
      <c r="AE143" s="217">
        <f>100000+123000+307401+3912112</f>
        <v>4442513</v>
      </c>
      <c r="AF143" s="217">
        <f>203282+294639+4655667</f>
        <v>5153588</v>
      </c>
      <c r="AG143" s="217">
        <f>SUM(AB143:AF143)</f>
        <v>21522490</v>
      </c>
      <c r="AH143" s="217">
        <f>AG143+AA143</f>
        <v>375667933</v>
      </c>
      <c r="AI143" s="217">
        <v>321957441</v>
      </c>
      <c r="AJ143" s="764">
        <f t="shared" ref="AJ143:AJ148" si="128">AI143/AH143*100</f>
        <v>85.702667893136351</v>
      </c>
    </row>
    <row r="144" spans="1:36" s="45" customFormat="1" ht="13.5" customHeight="1">
      <c r="A144" s="103"/>
      <c r="B144" s="103"/>
      <c r="C144" s="411"/>
      <c r="D144" s="411">
        <v>2</v>
      </c>
      <c r="E144" s="411" t="s">
        <v>199</v>
      </c>
      <c r="F144" s="412"/>
      <c r="G144" s="36"/>
      <c r="H144" s="162"/>
      <c r="I144" s="162" t="s">
        <v>182</v>
      </c>
      <c r="J144" s="128">
        <v>57927731</v>
      </c>
      <c r="K144" s="208"/>
      <c r="L144" s="217">
        <f t="shared" si="124"/>
        <v>57927731</v>
      </c>
      <c r="M144" s="217">
        <v>5247097</v>
      </c>
      <c r="N144" s="217"/>
      <c r="O144" s="217"/>
      <c r="P144" s="217"/>
      <c r="Q144" s="217">
        <v>1631751</v>
      </c>
      <c r="R144" s="217">
        <v>2503827</v>
      </c>
      <c r="S144" s="217">
        <f t="shared" si="125"/>
        <v>9382675</v>
      </c>
      <c r="T144" s="217">
        <f t="shared" si="126"/>
        <v>67310406</v>
      </c>
      <c r="U144" s="217"/>
      <c r="V144" s="217"/>
      <c r="W144" s="217"/>
      <c r="X144" s="217">
        <v>835478</v>
      </c>
      <c r="Y144" s="217">
        <v>273991</v>
      </c>
      <c r="Z144" s="217">
        <f t="shared" si="127"/>
        <v>1109469</v>
      </c>
      <c r="AA144" s="217">
        <f>Z144+T144</f>
        <v>68419875</v>
      </c>
      <c r="AB144" s="217"/>
      <c r="AC144" s="217">
        <f>5870000+1885934-4814000</f>
        <v>2941934</v>
      </c>
      <c r="AD144" s="217"/>
      <c r="AE144" s="217">
        <f>19500+21771+59943+762862</f>
        <v>864076</v>
      </c>
      <c r="AF144" s="217">
        <f>19820+28728+886355</f>
        <v>934903</v>
      </c>
      <c r="AG144" s="217">
        <f t="shared" ref="AG144:AG148" si="129">SUM(AB144:AF144)</f>
        <v>4740913</v>
      </c>
      <c r="AH144" s="217">
        <f t="shared" ref="AH144:AH148" si="130">AG144+AA144</f>
        <v>73160788</v>
      </c>
      <c r="AI144" s="217">
        <v>61906096</v>
      </c>
      <c r="AJ144" s="764">
        <f t="shared" si="128"/>
        <v>84.61649702296809</v>
      </c>
    </row>
    <row r="145" spans="1:36" s="45" customFormat="1" ht="13.5" customHeight="1">
      <c r="A145" s="103"/>
      <c r="B145" s="103"/>
      <c r="C145" s="411"/>
      <c r="D145" s="411">
        <v>3</v>
      </c>
      <c r="E145" s="411" t="s">
        <v>199</v>
      </c>
      <c r="F145" s="412"/>
      <c r="G145" s="36"/>
      <c r="H145" s="162"/>
      <c r="I145" s="162" t="s">
        <v>116</v>
      </c>
      <c r="J145" s="128">
        <v>389269041</v>
      </c>
      <c r="K145" s="208"/>
      <c r="L145" s="217">
        <f t="shared" si="124"/>
        <v>389269041</v>
      </c>
      <c r="M145" s="217">
        <v>19927559</v>
      </c>
      <c r="N145" s="217"/>
      <c r="O145" s="217">
        <v>3000000</v>
      </c>
      <c r="P145" s="217"/>
      <c r="Q145" s="217"/>
      <c r="R145" s="217">
        <v>11021600</v>
      </c>
      <c r="S145" s="217">
        <f t="shared" si="125"/>
        <v>33949159</v>
      </c>
      <c r="T145" s="217">
        <f t="shared" si="126"/>
        <v>423218200</v>
      </c>
      <c r="U145" s="217"/>
      <c r="V145" s="217"/>
      <c r="W145" s="217"/>
      <c r="X145" s="217"/>
      <c r="Y145" s="217">
        <v>11946614</v>
      </c>
      <c r="Z145" s="217">
        <f t="shared" si="127"/>
        <v>11946614</v>
      </c>
      <c r="AA145" s="217">
        <f>Z145+T145</f>
        <v>435164814</v>
      </c>
      <c r="AB145" s="217">
        <v>2555500</v>
      </c>
      <c r="AC145" s="217">
        <f>29500000+28254437</f>
        <v>57754437</v>
      </c>
      <c r="AD145" s="217"/>
      <c r="AE145" s="217">
        <v>62710</v>
      </c>
      <c r="AF145" s="217"/>
      <c r="AG145" s="217">
        <f t="shared" si="129"/>
        <v>60372647</v>
      </c>
      <c r="AH145" s="217">
        <f t="shared" si="130"/>
        <v>495537461</v>
      </c>
      <c r="AI145" s="217">
        <v>446717677</v>
      </c>
      <c r="AJ145" s="764">
        <f t="shared" si="128"/>
        <v>90.148114352145825</v>
      </c>
    </row>
    <row r="146" spans="1:36" s="45" customFormat="1" ht="13.5" customHeight="1">
      <c r="A146" s="103"/>
      <c r="B146" s="103"/>
      <c r="C146" s="411">
        <v>2</v>
      </c>
      <c r="D146" s="411"/>
      <c r="E146" s="411"/>
      <c r="F146" s="412"/>
      <c r="G146" s="36"/>
      <c r="H146" s="162" t="s">
        <v>211</v>
      </c>
      <c r="I146" s="162"/>
      <c r="J146" s="128"/>
      <c r="K146" s="208"/>
      <c r="L146" s="217"/>
      <c r="M146" s="217"/>
      <c r="N146" s="217"/>
      <c r="O146" s="217"/>
      <c r="P146" s="217"/>
      <c r="Q146" s="217"/>
      <c r="R146" s="217"/>
      <c r="S146" s="217">
        <f t="shared" si="125"/>
        <v>0</v>
      </c>
      <c r="T146" s="217"/>
      <c r="U146" s="217"/>
      <c r="V146" s="217"/>
      <c r="W146" s="217"/>
      <c r="X146" s="217"/>
      <c r="Y146" s="217"/>
      <c r="Z146" s="217">
        <f t="shared" si="127"/>
        <v>0</v>
      </c>
      <c r="AA146" s="217"/>
      <c r="AB146" s="217"/>
      <c r="AC146" s="217"/>
      <c r="AD146" s="217"/>
      <c r="AE146" s="217"/>
      <c r="AF146" s="217"/>
      <c r="AG146" s="217"/>
      <c r="AH146" s="217"/>
      <c r="AI146" s="217"/>
      <c r="AJ146" s="764"/>
    </row>
    <row r="147" spans="1:36" s="45" customFormat="1" ht="13.5" customHeight="1">
      <c r="A147" s="103"/>
      <c r="B147" s="103"/>
      <c r="C147" s="411"/>
      <c r="D147" s="411">
        <v>6</v>
      </c>
      <c r="E147" s="411" t="s">
        <v>199</v>
      </c>
      <c r="F147" s="412"/>
      <c r="G147" s="36"/>
      <c r="H147" s="162"/>
      <c r="I147" s="162" t="s">
        <v>213</v>
      </c>
      <c r="J147" s="128"/>
      <c r="K147" s="208">
        <v>26903760</v>
      </c>
      <c r="L147" s="217">
        <f t="shared" si="124"/>
        <v>26903760</v>
      </c>
      <c r="M147" s="217">
        <v>32956300</v>
      </c>
      <c r="N147" s="217"/>
      <c r="O147" s="217"/>
      <c r="P147" s="217"/>
      <c r="Q147" s="217"/>
      <c r="R147" s="217">
        <v>2900000</v>
      </c>
      <c r="S147" s="217">
        <f t="shared" si="125"/>
        <v>35856300</v>
      </c>
      <c r="T147" s="217">
        <f t="shared" si="126"/>
        <v>62760060</v>
      </c>
      <c r="U147" s="217"/>
      <c r="V147" s="217"/>
      <c r="W147" s="217"/>
      <c r="X147" s="217"/>
      <c r="Y147" s="217">
        <v>4610000</v>
      </c>
      <c r="Z147" s="217">
        <f t="shared" si="127"/>
        <v>4610000</v>
      </c>
      <c r="AA147" s="217">
        <f>Z147+T147</f>
        <v>67370060</v>
      </c>
      <c r="AB147" s="217">
        <v>444500</v>
      </c>
      <c r="AC147" s="217">
        <f>-22548730+3500000</f>
        <v>-19048730</v>
      </c>
      <c r="AD147" s="217"/>
      <c r="AE147" s="217"/>
      <c r="AF147" s="217">
        <v>5300000</v>
      </c>
      <c r="AG147" s="217">
        <f t="shared" si="129"/>
        <v>-13304230</v>
      </c>
      <c r="AH147" s="217">
        <f t="shared" si="130"/>
        <v>54065830</v>
      </c>
      <c r="AI147" s="217">
        <v>30729396</v>
      </c>
      <c r="AJ147" s="764">
        <f t="shared" si="128"/>
        <v>56.837000375283239</v>
      </c>
    </row>
    <row r="148" spans="1:36" s="45" customFormat="1" ht="13.5" customHeight="1">
      <c r="A148" s="103"/>
      <c r="B148" s="103"/>
      <c r="C148" s="411"/>
      <c r="D148" s="411">
        <v>7</v>
      </c>
      <c r="E148" s="411" t="s">
        <v>199</v>
      </c>
      <c r="F148" s="412"/>
      <c r="G148" s="36"/>
      <c r="H148" s="162"/>
      <c r="I148" s="162" t="s">
        <v>214</v>
      </c>
      <c r="J148" s="128"/>
      <c r="K148" s="208">
        <v>34820000</v>
      </c>
      <c r="L148" s="217">
        <f t="shared" si="124"/>
        <v>34820000</v>
      </c>
      <c r="M148" s="217">
        <v>110453400</v>
      </c>
      <c r="N148" s="217"/>
      <c r="O148" s="217"/>
      <c r="P148" s="217"/>
      <c r="Q148" s="217"/>
      <c r="R148" s="217">
        <v>4000000</v>
      </c>
      <c r="S148" s="217">
        <f t="shared" si="125"/>
        <v>114453400</v>
      </c>
      <c r="T148" s="217">
        <f t="shared" si="126"/>
        <v>149273400</v>
      </c>
      <c r="U148" s="217"/>
      <c r="V148" s="217"/>
      <c r="W148" s="217"/>
      <c r="X148" s="217"/>
      <c r="Y148" s="217">
        <v>1500000</v>
      </c>
      <c r="Z148" s="217">
        <f t="shared" si="127"/>
        <v>1500000</v>
      </c>
      <c r="AA148" s="217">
        <f>Z148+T148</f>
        <v>150773400</v>
      </c>
      <c r="AB148" s="217"/>
      <c r="AC148" s="217">
        <v>22548730</v>
      </c>
      <c r="AD148" s="217"/>
      <c r="AE148" s="217"/>
      <c r="AF148" s="217"/>
      <c r="AG148" s="217">
        <f t="shared" si="129"/>
        <v>22548730</v>
      </c>
      <c r="AH148" s="217">
        <f t="shared" si="130"/>
        <v>173322130</v>
      </c>
      <c r="AI148" s="217">
        <v>95905784</v>
      </c>
      <c r="AJ148" s="764">
        <f t="shared" si="128"/>
        <v>55.33383648123872</v>
      </c>
    </row>
    <row r="149" spans="1:36" s="45" customFormat="1" ht="13.5" customHeight="1">
      <c r="A149" s="103"/>
      <c r="B149" s="103"/>
      <c r="C149" s="104"/>
      <c r="D149" s="104"/>
      <c r="E149" s="104"/>
      <c r="F149" s="276"/>
      <c r="G149" s="663"/>
      <c r="H149" s="662"/>
      <c r="I149" s="277"/>
      <c r="J149" s="46"/>
      <c r="K149" s="159"/>
      <c r="L149" s="157"/>
      <c r="M149" s="157"/>
      <c r="N149" s="157"/>
      <c r="O149" s="157"/>
      <c r="P149" s="157"/>
      <c r="Q149" s="157"/>
      <c r="R149" s="157"/>
      <c r="S149" s="157"/>
      <c r="T149" s="157"/>
      <c r="U149" s="157"/>
      <c r="V149" s="157"/>
      <c r="W149" s="157"/>
      <c r="X149" s="157"/>
      <c r="Y149" s="157"/>
      <c r="Z149" s="157"/>
      <c r="AA149" s="157"/>
      <c r="AB149" s="157"/>
      <c r="AC149" s="157"/>
      <c r="AD149" s="157"/>
      <c r="AE149" s="157"/>
      <c r="AF149" s="157"/>
      <c r="AG149" s="157"/>
      <c r="AH149" s="157"/>
      <c r="AI149" s="157"/>
      <c r="AJ149" s="749"/>
    </row>
    <row r="150" spans="1:36" s="45" customFormat="1" ht="13.5" customHeight="1">
      <c r="A150" s="103"/>
      <c r="B150" s="103"/>
      <c r="C150" s="104"/>
      <c r="D150" s="104"/>
      <c r="E150" s="104"/>
      <c r="F150" s="20" t="s">
        <v>37</v>
      </c>
      <c r="G150" s="4"/>
      <c r="H150" s="4"/>
      <c r="I150" s="5"/>
      <c r="J150" s="101">
        <f>SUM(J143:J149)</f>
        <v>738170018</v>
      </c>
      <c r="K150" s="206">
        <f>SUM(K143:K149)</f>
        <v>61723760</v>
      </c>
      <c r="L150" s="101">
        <f>SUM(L143:L149)</f>
        <v>799893778</v>
      </c>
      <c r="M150" s="101">
        <f t="shared" ref="M150" si="131">SUM(M143:M149)</f>
        <v>204796941</v>
      </c>
      <c r="N150" s="101"/>
      <c r="O150" s="101">
        <f t="shared" ref="O150:S150" si="132">SUM(O143:O149)</f>
        <v>3000000</v>
      </c>
      <c r="P150" s="101">
        <f t="shared" si="132"/>
        <v>0</v>
      </c>
      <c r="Q150" s="101">
        <f t="shared" si="132"/>
        <v>9820525</v>
      </c>
      <c r="R150" s="101">
        <f t="shared" si="132"/>
        <v>32053304</v>
      </c>
      <c r="S150" s="101">
        <f t="shared" si="132"/>
        <v>249670770</v>
      </c>
      <c r="T150" s="101">
        <f>SUM(T143:T149)</f>
        <v>1049564548</v>
      </c>
      <c r="U150" s="101"/>
      <c r="V150" s="101"/>
      <c r="W150" s="101"/>
      <c r="X150" s="101">
        <f t="shared" ref="X150:Z150" si="133">SUM(X143:X149)</f>
        <v>5119981</v>
      </c>
      <c r="Y150" s="101">
        <f t="shared" si="133"/>
        <v>21189063</v>
      </c>
      <c r="Z150" s="101">
        <f t="shared" si="133"/>
        <v>26309044</v>
      </c>
      <c r="AA150" s="101">
        <f>SUM(AA143:AA149)</f>
        <v>1075873592</v>
      </c>
      <c r="AB150" s="101">
        <f t="shared" ref="AB150:AI150" si="134">SUM(AB143:AB149)</f>
        <v>3000000</v>
      </c>
      <c r="AC150" s="101">
        <f t="shared" si="134"/>
        <v>76122760</v>
      </c>
      <c r="AD150" s="101">
        <f t="shared" si="134"/>
        <v>0</v>
      </c>
      <c r="AE150" s="101">
        <f t="shared" si="134"/>
        <v>5369299</v>
      </c>
      <c r="AF150" s="101">
        <f t="shared" si="134"/>
        <v>11388491</v>
      </c>
      <c r="AG150" s="101">
        <f t="shared" si="134"/>
        <v>95880550</v>
      </c>
      <c r="AH150" s="101">
        <f t="shared" si="134"/>
        <v>1171754142</v>
      </c>
      <c r="AI150" s="101">
        <f t="shared" si="134"/>
        <v>957216394</v>
      </c>
      <c r="AJ150" s="765">
        <f>AI150/AH150*100</f>
        <v>81.690890579331096</v>
      </c>
    </row>
    <row r="151" spans="1:36" s="45" customFormat="1" ht="14.25" customHeight="1">
      <c r="A151" s="103"/>
      <c r="B151" s="103"/>
      <c r="C151" s="104"/>
      <c r="D151" s="104"/>
      <c r="E151" s="104"/>
      <c r="F151" s="6"/>
      <c r="G151" s="7"/>
      <c r="H151" s="7"/>
      <c r="I151" s="8"/>
      <c r="J151" s="46"/>
      <c r="K151" s="159"/>
      <c r="L151" s="157"/>
      <c r="M151" s="157"/>
      <c r="N151" s="157"/>
      <c r="O151" s="157"/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  <c r="Z151" s="157"/>
      <c r="AA151" s="157"/>
      <c r="AB151" s="157"/>
      <c r="AC151" s="157"/>
      <c r="AD151" s="157"/>
      <c r="AE151" s="157"/>
      <c r="AF151" s="157"/>
      <c r="AG151" s="157"/>
      <c r="AH151" s="157"/>
      <c r="AI151" s="157"/>
      <c r="AJ151" s="749"/>
    </row>
    <row r="152" spans="1:36" s="45" customFormat="1" ht="14.25" customHeight="1">
      <c r="A152" s="103">
        <v>13</v>
      </c>
      <c r="C152" s="104"/>
      <c r="D152" s="104"/>
      <c r="E152" s="104"/>
      <c r="F152" s="664" t="s">
        <v>192</v>
      </c>
      <c r="G152" s="662"/>
      <c r="H152" s="662"/>
      <c r="I152" s="661"/>
      <c r="J152" s="46"/>
      <c r="K152" s="159"/>
      <c r="L152" s="157"/>
      <c r="M152" s="157"/>
      <c r="N152" s="157"/>
      <c r="O152" s="157"/>
      <c r="P152" s="157"/>
      <c r="Q152" s="157"/>
      <c r="R152" s="157"/>
      <c r="S152" s="157"/>
      <c r="T152" s="157"/>
      <c r="U152" s="157"/>
      <c r="V152" s="157"/>
      <c r="W152" s="157"/>
      <c r="X152" s="157"/>
      <c r="Y152" s="157"/>
      <c r="Z152" s="157"/>
      <c r="AA152" s="157"/>
      <c r="AB152" s="157"/>
      <c r="AC152" s="157"/>
      <c r="AD152" s="157"/>
      <c r="AE152" s="157"/>
      <c r="AF152" s="157"/>
      <c r="AG152" s="157"/>
      <c r="AH152" s="157"/>
      <c r="AI152" s="157"/>
      <c r="AJ152" s="749"/>
    </row>
    <row r="153" spans="1:36" s="45" customFormat="1" ht="15.5" customHeight="1">
      <c r="A153" s="103"/>
      <c r="C153" s="411">
        <v>1</v>
      </c>
      <c r="D153" s="411"/>
      <c r="E153" s="411"/>
      <c r="F153" s="412"/>
      <c r="G153" s="36"/>
      <c r="H153" s="162" t="s">
        <v>35</v>
      </c>
      <c r="I153" s="36"/>
      <c r="J153" s="46"/>
      <c r="K153" s="159"/>
      <c r="L153" s="157"/>
      <c r="M153" s="157"/>
      <c r="N153" s="157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  <c r="Z153" s="157"/>
      <c r="AA153" s="157"/>
      <c r="AB153" s="157"/>
      <c r="AC153" s="157"/>
      <c r="AD153" s="157"/>
      <c r="AE153" s="157"/>
      <c r="AF153" s="157"/>
      <c r="AG153" s="157"/>
      <c r="AH153" s="157"/>
      <c r="AI153" s="157"/>
      <c r="AJ153" s="749"/>
    </row>
    <row r="154" spans="1:36" s="45" customFormat="1" ht="15.5" customHeight="1">
      <c r="A154" s="103"/>
      <c r="C154" s="411"/>
      <c r="D154" s="411">
        <v>1</v>
      </c>
      <c r="E154" s="411" t="s">
        <v>250</v>
      </c>
      <c r="F154" s="412"/>
      <c r="G154" s="36"/>
      <c r="H154" s="162"/>
      <c r="I154" s="162" t="s">
        <v>180</v>
      </c>
      <c r="J154" s="128">
        <v>33590459</v>
      </c>
      <c r="K154" s="208"/>
      <c r="L154" s="217">
        <f t="shared" ref="L154:L166" si="135">SUM(J154:K154)</f>
        <v>33590459</v>
      </c>
      <c r="M154" s="217">
        <v>13656</v>
      </c>
      <c r="N154" s="217"/>
      <c r="O154" s="217"/>
      <c r="P154" s="217"/>
      <c r="Q154" s="217"/>
      <c r="R154" s="217"/>
      <c r="S154" s="217">
        <f t="shared" ref="S154:S167" si="136">SUM(M154:R154)</f>
        <v>13656</v>
      </c>
      <c r="T154" s="217">
        <f t="shared" ref="T154:T167" si="137">S154+L154</f>
        <v>33604115</v>
      </c>
      <c r="U154" s="217"/>
      <c r="V154" s="217"/>
      <c r="W154" s="217"/>
      <c r="X154" s="217"/>
      <c r="Y154" s="217"/>
      <c r="Z154" s="217">
        <f t="shared" ref="Z154:Z167" si="138">SUM(U154:Y154)</f>
        <v>0</v>
      </c>
      <c r="AA154" s="217">
        <f t="shared" ref="AA154:AA163" si="139">Z154+T154</f>
        <v>33604115</v>
      </c>
      <c r="AB154" s="217"/>
      <c r="AC154" s="217">
        <v>2000000</v>
      </c>
      <c r="AD154" s="217"/>
      <c r="AE154" s="217"/>
      <c r="AF154" s="217"/>
      <c r="AG154" s="217">
        <f t="shared" ref="AG154" si="140">SUM(AB154:AF154)</f>
        <v>2000000</v>
      </c>
      <c r="AH154" s="217">
        <f t="shared" ref="AH154" si="141">AG154+AA154</f>
        <v>35604115</v>
      </c>
      <c r="AI154" s="217">
        <v>35164452</v>
      </c>
      <c r="AJ154" s="764">
        <f t="shared" ref="AJ154:AJ167" si="142">AI154/AH154*100</f>
        <v>98.765134311019949</v>
      </c>
    </row>
    <row r="155" spans="1:36" s="45" customFormat="1" ht="15.5" customHeight="1">
      <c r="A155" s="103"/>
      <c r="C155" s="411"/>
      <c r="D155" s="411">
        <v>1</v>
      </c>
      <c r="E155" s="411" t="s">
        <v>199</v>
      </c>
      <c r="F155" s="412"/>
      <c r="G155" s="36"/>
      <c r="H155" s="162"/>
      <c r="I155" s="162" t="s">
        <v>180</v>
      </c>
      <c r="J155" s="128">
        <v>846411159</v>
      </c>
      <c r="K155" s="208"/>
      <c r="L155" s="217">
        <f t="shared" si="135"/>
        <v>846411159</v>
      </c>
      <c r="M155" s="217">
        <f>44600507+32137164</f>
        <v>76737671</v>
      </c>
      <c r="N155" s="217"/>
      <c r="O155" s="217"/>
      <c r="P155" s="217"/>
      <c r="Q155" s="217">
        <v>1737200</v>
      </c>
      <c r="R155" s="217">
        <v>9058650</v>
      </c>
      <c r="S155" s="217">
        <f t="shared" si="136"/>
        <v>87533521</v>
      </c>
      <c r="T155" s="217">
        <f t="shared" si="137"/>
        <v>933944680</v>
      </c>
      <c r="U155" s="217">
        <v>2000000</v>
      </c>
      <c r="V155" s="217"/>
      <c r="W155" s="217"/>
      <c r="X155" s="217">
        <v>728400</v>
      </c>
      <c r="Y155" s="217"/>
      <c r="Z155" s="217">
        <f t="shared" si="138"/>
        <v>2728400</v>
      </c>
      <c r="AA155" s="217">
        <f t="shared" si="139"/>
        <v>936673080</v>
      </c>
      <c r="AB155" s="217"/>
      <c r="AC155" s="217">
        <v>-2000000</v>
      </c>
      <c r="AD155" s="217"/>
      <c r="AE155" s="217">
        <v>698700</v>
      </c>
      <c r="AF155" s="217">
        <v>903766</v>
      </c>
      <c r="AG155" s="217">
        <f t="shared" ref="AG155:AG167" si="143">SUM(AB155:AF155)</f>
        <v>-397534</v>
      </c>
      <c r="AH155" s="217">
        <f t="shared" ref="AH155:AH167" si="144">AG155+AA155</f>
        <v>936275546</v>
      </c>
      <c r="AI155" s="217">
        <v>908176710</v>
      </c>
      <c r="AJ155" s="764">
        <f t="shared" si="142"/>
        <v>96.99887109942739</v>
      </c>
    </row>
    <row r="156" spans="1:36" s="45" customFormat="1" ht="15.5" customHeight="1">
      <c r="A156" s="103"/>
      <c r="C156" s="411"/>
      <c r="D156" s="411">
        <v>1</v>
      </c>
      <c r="E156" s="411" t="s">
        <v>198</v>
      </c>
      <c r="F156" s="412"/>
      <c r="G156" s="36"/>
      <c r="H156" s="162"/>
      <c r="I156" s="162" t="s">
        <v>180</v>
      </c>
      <c r="J156" s="128">
        <v>29436000</v>
      </c>
      <c r="K156" s="208"/>
      <c r="L156" s="217">
        <f t="shared" si="135"/>
        <v>29436000</v>
      </c>
      <c r="M156" s="217"/>
      <c r="N156" s="217"/>
      <c r="O156" s="217"/>
      <c r="P156" s="217"/>
      <c r="Q156" s="217"/>
      <c r="R156" s="217"/>
      <c r="S156" s="217">
        <f t="shared" si="136"/>
        <v>0</v>
      </c>
      <c r="T156" s="217">
        <f t="shared" si="137"/>
        <v>29436000</v>
      </c>
      <c r="U156" s="217"/>
      <c r="V156" s="217"/>
      <c r="W156" s="217"/>
      <c r="X156" s="217"/>
      <c r="Y156" s="217"/>
      <c r="Z156" s="217">
        <f t="shared" si="138"/>
        <v>0</v>
      </c>
      <c r="AA156" s="217">
        <f t="shared" si="139"/>
        <v>29436000</v>
      </c>
      <c r="AB156" s="217"/>
      <c r="AC156" s="217"/>
      <c r="AD156" s="217"/>
      <c r="AE156" s="217"/>
      <c r="AF156" s="217">
        <v>5821493</v>
      </c>
      <c r="AG156" s="217">
        <f t="shared" si="143"/>
        <v>5821493</v>
      </c>
      <c r="AH156" s="217">
        <f t="shared" si="144"/>
        <v>35257493</v>
      </c>
      <c r="AI156" s="217">
        <v>8940864</v>
      </c>
      <c r="AJ156" s="764">
        <f t="shared" si="142"/>
        <v>25.358762745836749</v>
      </c>
    </row>
    <row r="157" spans="1:36" s="45" customFormat="1" ht="15.5" customHeight="1">
      <c r="A157" s="103"/>
      <c r="B157" s="103"/>
      <c r="C157" s="411"/>
      <c r="D157" s="411">
        <v>2</v>
      </c>
      <c r="E157" s="411" t="s">
        <v>250</v>
      </c>
      <c r="F157" s="412"/>
      <c r="G157" s="36"/>
      <c r="H157" s="162"/>
      <c r="I157" s="162" t="s">
        <v>182</v>
      </c>
      <c r="J157" s="128">
        <v>6820116</v>
      </c>
      <c r="K157" s="208"/>
      <c r="L157" s="217">
        <f t="shared" si="135"/>
        <v>6820116</v>
      </c>
      <c r="M157" s="217">
        <v>28067</v>
      </c>
      <c r="N157" s="217"/>
      <c r="O157" s="217"/>
      <c r="P157" s="217"/>
      <c r="Q157" s="217"/>
      <c r="R157" s="217"/>
      <c r="S157" s="217">
        <f t="shared" si="136"/>
        <v>28067</v>
      </c>
      <c r="T157" s="217">
        <f t="shared" si="137"/>
        <v>6848183</v>
      </c>
      <c r="U157" s="217"/>
      <c r="V157" s="217"/>
      <c r="W157" s="217"/>
      <c r="X157" s="217"/>
      <c r="Y157" s="217"/>
      <c r="Z157" s="217">
        <f t="shared" si="138"/>
        <v>0</v>
      </c>
      <c r="AA157" s="217">
        <f t="shared" si="139"/>
        <v>6848183</v>
      </c>
      <c r="AB157" s="217"/>
      <c r="AC157" s="217">
        <v>463429</v>
      </c>
      <c r="AD157" s="217"/>
      <c r="AE157" s="217"/>
      <c r="AF157" s="217"/>
      <c r="AG157" s="217">
        <f t="shared" si="143"/>
        <v>463429</v>
      </c>
      <c r="AH157" s="217">
        <f t="shared" si="144"/>
        <v>7311612</v>
      </c>
      <c r="AI157" s="217">
        <v>7120280</v>
      </c>
      <c r="AJ157" s="764">
        <f t="shared" si="142"/>
        <v>97.383176240752377</v>
      </c>
    </row>
    <row r="158" spans="1:36" s="45" customFormat="1" ht="15.5" customHeight="1">
      <c r="A158" s="103"/>
      <c r="B158" s="103"/>
      <c r="C158" s="411"/>
      <c r="D158" s="411">
        <v>2</v>
      </c>
      <c r="E158" s="411" t="s">
        <v>199</v>
      </c>
      <c r="F158" s="412"/>
      <c r="G158" s="36"/>
      <c r="H158" s="162"/>
      <c r="I158" s="162" t="s">
        <v>182</v>
      </c>
      <c r="J158" s="128">
        <v>186371459</v>
      </c>
      <c r="K158" s="208"/>
      <c r="L158" s="217">
        <f t="shared" si="135"/>
        <v>186371459</v>
      </c>
      <c r="M158" s="217">
        <v>22783937</v>
      </c>
      <c r="N158" s="217"/>
      <c r="O158" s="217">
        <v>-66505</v>
      </c>
      <c r="P158" s="217"/>
      <c r="Q158" s="217">
        <v>348133</v>
      </c>
      <c r="R158" s="217">
        <v>1864949</v>
      </c>
      <c r="S158" s="217">
        <f t="shared" si="136"/>
        <v>24930514</v>
      </c>
      <c r="T158" s="217">
        <f t="shared" si="137"/>
        <v>211301973</v>
      </c>
      <c r="U158" s="217"/>
      <c r="V158" s="217"/>
      <c r="W158" s="217"/>
      <c r="X158" s="217">
        <v>142045</v>
      </c>
      <c r="Y158" s="217"/>
      <c r="Z158" s="217">
        <f t="shared" si="138"/>
        <v>142045</v>
      </c>
      <c r="AA158" s="217">
        <f t="shared" si="139"/>
        <v>211444018</v>
      </c>
      <c r="AB158" s="217"/>
      <c r="AC158" s="217">
        <v>-463429</v>
      </c>
      <c r="AD158" s="217"/>
      <c r="AE158" s="217">
        <v>136245</v>
      </c>
      <c r="AF158" s="217">
        <v>176234</v>
      </c>
      <c r="AG158" s="217">
        <f t="shared" si="143"/>
        <v>-150950</v>
      </c>
      <c r="AH158" s="217">
        <f t="shared" si="144"/>
        <v>211293068</v>
      </c>
      <c r="AI158" s="217">
        <v>198989984</v>
      </c>
      <c r="AJ158" s="764">
        <f t="shared" si="142"/>
        <v>94.177242009662137</v>
      </c>
    </row>
    <row r="159" spans="1:36" s="45" customFormat="1" ht="15.5" customHeight="1">
      <c r="A159" s="103"/>
      <c r="B159" s="103"/>
      <c r="C159" s="411"/>
      <c r="D159" s="411">
        <v>2</v>
      </c>
      <c r="E159" s="411" t="s">
        <v>198</v>
      </c>
      <c r="F159" s="412"/>
      <c r="G159" s="36"/>
      <c r="H159" s="162"/>
      <c r="I159" s="162" t="s">
        <v>182</v>
      </c>
      <c r="J159" s="128">
        <v>9084000</v>
      </c>
      <c r="K159" s="208"/>
      <c r="L159" s="217">
        <f t="shared" si="135"/>
        <v>9084000</v>
      </c>
      <c r="M159" s="217"/>
      <c r="N159" s="217"/>
      <c r="O159" s="217"/>
      <c r="P159" s="217"/>
      <c r="Q159" s="217"/>
      <c r="R159" s="217"/>
      <c r="S159" s="217">
        <f t="shared" si="136"/>
        <v>0</v>
      </c>
      <c r="T159" s="217">
        <f t="shared" si="137"/>
        <v>9084000</v>
      </c>
      <c r="U159" s="217"/>
      <c r="V159" s="217"/>
      <c r="W159" s="217"/>
      <c r="X159" s="217"/>
      <c r="Y159" s="217"/>
      <c r="Z159" s="217">
        <f t="shared" si="138"/>
        <v>0</v>
      </c>
      <c r="AA159" s="217">
        <f t="shared" si="139"/>
        <v>9084000</v>
      </c>
      <c r="AB159" s="217"/>
      <c r="AC159" s="217"/>
      <c r="AD159" s="217"/>
      <c r="AE159" s="217"/>
      <c r="AF159" s="217">
        <v>1136901</v>
      </c>
      <c r="AG159" s="217">
        <f t="shared" si="143"/>
        <v>1136901</v>
      </c>
      <c r="AH159" s="217">
        <f t="shared" si="144"/>
        <v>10220901</v>
      </c>
      <c r="AI159" s="217">
        <v>1745931</v>
      </c>
      <c r="AJ159" s="764">
        <f t="shared" si="142"/>
        <v>17.081967626924477</v>
      </c>
    </row>
    <row r="160" spans="1:36" s="45" customFormat="1" ht="15.5" customHeight="1">
      <c r="A160" s="103"/>
      <c r="B160" s="103"/>
      <c r="C160" s="411"/>
      <c r="D160" s="411">
        <v>3</v>
      </c>
      <c r="E160" s="411" t="s">
        <v>250</v>
      </c>
      <c r="F160" s="412"/>
      <c r="G160" s="36"/>
      <c r="H160" s="162"/>
      <c r="I160" s="162" t="s">
        <v>116</v>
      </c>
      <c r="J160" s="128">
        <v>1639390</v>
      </c>
      <c r="K160" s="208"/>
      <c r="L160" s="217">
        <f t="shared" si="135"/>
        <v>1639390</v>
      </c>
      <c r="M160" s="217">
        <v>90804</v>
      </c>
      <c r="N160" s="217"/>
      <c r="O160" s="217"/>
      <c r="P160" s="217"/>
      <c r="Q160" s="217"/>
      <c r="R160" s="217"/>
      <c r="S160" s="217">
        <f t="shared" si="136"/>
        <v>90804</v>
      </c>
      <c r="T160" s="217">
        <f t="shared" si="137"/>
        <v>1730194</v>
      </c>
      <c r="U160" s="217"/>
      <c r="V160" s="217"/>
      <c r="W160" s="217"/>
      <c r="X160" s="217"/>
      <c r="Y160" s="217"/>
      <c r="Z160" s="217">
        <f t="shared" si="138"/>
        <v>0</v>
      </c>
      <c r="AA160" s="217">
        <f t="shared" si="139"/>
        <v>1730194</v>
      </c>
      <c r="AB160" s="217"/>
      <c r="AC160" s="217">
        <v>500000</v>
      </c>
      <c r="AD160" s="217"/>
      <c r="AE160" s="217"/>
      <c r="AF160" s="217"/>
      <c r="AG160" s="217">
        <f t="shared" si="143"/>
        <v>500000</v>
      </c>
      <c r="AH160" s="217">
        <f t="shared" si="144"/>
        <v>2230194</v>
      </c>
      <c r="AI160" s="217">
        <v>1638398</v>
      </c>
      <c r="AJ160" s="764">
        <f t="shared" si="142"/>
        <v>73.464371260975497</v>
      </c>
    </row>
    <row r="161" spans="1:36" s="45" customFormat="1" ht="15.5" customHeight="1">
      <c r="A161" s="103"/>
      <c r="B161" s="103"/>
      <c r="C161" s="411"/>
      <c r="D161" s="411">
        <v>3</v>
      </c>
      <c r="E161" s="411" t="s">
        <v>199</v>
      </c>
      <c r="F161" s="412"/>
      <c r="G161" s="36"/>
      <c r="H161" s="162"/>
      <c r="I161" s="162" t="s">
        <v>116</v>
      </c>
      <c r="J161" s="128">
        <v>224410416</v>
      </c>
      <c r="K161" s="208"/>
      <c r="L161" s="217">
        <f t="shared" si="135"/>
        <v>224410416</v>
      </c>
      <c r="M161" s="217">
        <f>25218127+40616990</f>
        <v>65835117</v>
      </c>
      <c r="N161" s="217"/>
      <c r="O161" s="217">
        <v>66505</v>
      </c>
      <c r="P161" s="217"/>
      <c r="Q161" s="217"/>
      <c r="R161" s="217">
        <v>2170718</v>
      </c>
      <c r="S161" s="217">
        <f t="shared" si="136"/>
        <v>68072340</v>
      </c>
      <c r="T161" s="217">
        <f t="shared" si="137"/>
        <v>292482756</v>
      </c>
      <c r="U161" s="217"/>
      <c r="V161" s="217">
        <v>-5000000</v>
      </c>
      <c r="W161" s="217"/>
      <c r="X161" s="217"/>
      <c r="Y161" s="217"/>
      <c r="Z161" s="217">
        <f t="shared" si="138"/>
        <v>-5000000</v>
      </c>
      <c r="AA161" s="217">
        <f t="shared" si="139"/>
        <v>287482756</v>
      </c>
      <c r="AB161" s="217"/>
      <c r="AC161" s="217">
        <v>-500000</v>
      </c>
      <c r="AD161" s="217"/>
      <c r="AE161" s="217"/>
      <c r="AF161" s="217"/>
      <c r="AG161" s="217">
        <f t="shared" si="143"/>
        <v>-500000</v>
      </c>
      <c r="AH161" s="217">
        <f t="shared" si="144"/>
        <v>286982756</v>
      </c>
      <c r="AI161" s="217">
        <v>203778836</v>
      </c>
      <c r="AJ161" s="764">
        <f t="shared" si="142"/>
        <v>71.007345124248516</v>
      </c>
    </row>
    <row r="162" spans="1:36" s="45" customFormat="1" ht="15.5" customHeight="1">
      <c r="A162" s="103"/>
      <c r="B162" s="103"/>
      <c r="C162" s="411"/>
      <c r="D162" s="411">
        <v>3</v>
      </c>
      <c r="E162" s="411" t="s">
        <v>198</v>
      </c>
      <c r="F162" s="412"/>
      <c r="G162" s="36"/>
      <c r="H162" s="162"/>
      <c r="I162" s="162" t="s">
        <v>116</v>
      </c>
      <c r="J162" s="128">
        <v>2280000</v>
      </c>
      <c r="K162" s="208"/>
      <c r="L162" s="217">
        <f t="shared" si="135"/>
        <v>2280000</v>
      </c>
      <c r="M162" s="217"/>
      <c r="N162" s="217"/>
      <c r="O162" s="217"/>
      <c r="P162" s="217"/>
      <c r="Q162" s="217"/>
      <c r="R162" s="217"/>
      <c r="S162" s="217">
        <f t="shared" si="136"/>
        <v>0</v>
      </c>
      <c r="T162" s="217">
        <f t="shared" si="137"/>
        <v>2280000</v>
      </c>
      <c r="U162" s="217"/>
      <c r="V162" s="217"/>
      <c r="W162" s="217"/>
      <c r="X162" s="217"/>
      <c r="Y162" s="217"/>
      <c r="Z162" s="217">
        <f t="shared" si="138"/>
        <v>0</v>
      </c>
      <c r="AA162" s="217">
        <f t="shared" si="139"/>
        <v>2280000</v>
      </c>
      <c r="AB162" s="217"/>
      <c r="AC162" s="217"/>
      <c r="AD162" s="217"/>
      <c r="AE162" s="217"/>
      <c r="AF162" s="217">
        <v>32040</v>
      </c>
      <c r="AG162" s="217">
        <f t="shared" si="143"/>
        <v>32040</v>
      </c>
      <c r="AH162" s="217">
        <f t="shared" si="144"/>
        <v>2312040</v>
      </c>
      <c r="AI162" s="217">
        <v>851639</v>
      </c>
      <c r="AJ162" s="764">
        <f t="shared" si="142"/>
        <v>36.834959602775037</v>
      </c>
    </row>
    <row r="163" spans="1:36" s="45" customFormat="1" ht="15.5" customHeight="1">
      <c r="A163" s="103"/>
      <c r="B163" s="103"/>
      <c r="C163" s="411"/>
      <c r="D163" s="411">
        <v>4</v>
      </c>
      <c r="E163" s="411" t="s">
        <v>250</v>
      </c>
      <c r="F163" s="412"/>
      <c r="G163" s="36"/>
      <c r="H163" s="162"/>
      <c r="I163" s="162" t="s">
        <v>308</v>
      </c>
      <c r="J163" s="128"/>
      <c r="K163" s="208"/>
      <c r="L163" s="217"/>
      <c r="M163" s="217">
        <v>289000</v>
      </c>
      <c r="N163" s="217"/>
      <c r="O163" s="217"/>
      <c r="P163" s="217"/>
      <c r="Q163" s="217">
        <v>-227000</v>
      </c>
      <c r="R163" s="217"/>
      <c r="S163" s="217">
        <f t="shared" si="136"/>
        <v>62000</v>
      </c>
      <c r="T163" s="217">
        <f t="shared" si="137"/>
        <v>62000</v>
      </c>
      <c r="U163" s="217"/>
      <c r="V163" s="217"/>
      <c r="W163" s="217">
        <v>4048000</v>
      </c>
      <c r="X163" s="217"/>
      <c r="Y163" s="217"/>
      <c r="Z163" s="217">
        <f t="shared" si="138"/>
        <v>4048000</v>
      </c>
      <c r="AA163" s="217">
        <f t="shared" si="139"/>
        <v>4110000</v>
      </c>
      <c r="AB163" s="217"/>
      <c r="AC163" s="217"/>
      <c r="AD163" s="217">
        <f>3504500+6500</f>
        <v>3511000</v>
      </c>
      <c r="AE163" s="217"/>
      <c r="AF163" s="217"/>
      <c r="AG163" s="217">
        <f t="shared" si="143"/>
        <v>3511000</v>
      </c>
      <c r="AH163" s="217">
        <f t="shared" si="144"/>
        <v>7621000</v>
      </c>
      <c r="AI163" s="217">
        <v>7400500</v>
      </c>
      <c r="AJ163" s="764">
        <f t="shared" si="142"/>
        <v>97.106678913528413</v>
      </c>
    </row>
    <row r="164" spans="1:36" s="45" customFormat="1" ht="15.5" customHeight="1">
      <c r="A164" s="103"/>
      <c r="B164" s="103"/>
      <c r="C164" s="411">
        <v>2</v>
      </c>
      <c r="D164" s="411"/>
      <c r="E164" s="411"/>
      <c r="F164" s="412"/>
      <c r="G164" s="36"/>
      <c r="H164" s="162" t="s">
        <v>211</v>
      </c>
      <c r="I164" s="162"/>
      <c r="J164" s="128"/>
      <c r="K164" s="208"/>
      <c r="L164" s="217"/>
      <c r="M164" s="217"/>
      <c r="N164" s="217"/>
      <c r="O164" s="217"/>
      <c r="P164" s="217"/>
      <c r="Q164" s="217"/>
      <c r="R164" s="217"/>
      <c r="S164" s="217">
        <f t="shared" si="136"/>
        <v>0</v>
      </c>
      <c r="T164" s="217"/>
      <c r="U164" s="217"/>
      <c r="V164" s="217"/>
      <c r="W164" s="217"/>
      <c r="X164" s="217"/>
      <c r="Y164" s="217"/>
      <c r="Z164" s="217">
        <f t="shared" si="138"/>
        <v>0</v>
      </c>
      <c r="AA164" s="217"/>
      <c r="AB164" s="217"/>
      <c r="AC164" s="217"/>
      <c r="AD164" s="217"/>
      <c r="AE164" s="217"/>
      <c r="AF164" s="217"/>
      <c r="AG164" s="217"/>
      <c r="AH164" s="217"/>
      <c r="AI164" s="217"/>
      <c r="AJ164" s="764"/>
    </row>
    <row r="165" spans="1:36" s="45" customFormat="1" ht="15.5" customHeight="1">
      <c r="A165" s="103"/>
      <c r="B165" s="103"/>
      <c r="C165" s="411"/>
      <c r="D165" s="411">
        <v>6</v>
      </c>
      <c r="E165" s="411" t="s">
        <v>199</v>
      </c>
      <c r="F165" s="412"/>
      <c r="G165" s="36"/>
      <c r="H165" s="162"/>
      <c r="I165" s="162" t="s">
        <v>213</v>
      </c>
      <c r="J165" s="128"/>
      <c r="K165" s="208">
        <v>50000000</v>
      </c>
      <c r="L165" s="217">
        <f t="shared" si="135"/>
        <v>50000000</v>
      </c>
      <c r="M165" s="217">
        <f>31648123+80737328</f>
        <v>112385451</v>
      </c>
      <c r="N165" s="217"/>
      <c r="O165" s="217"/>
      <c r="P165" s="217"/>
      <c r="Q165" s="217">
        <v>-414400</v>
      </c>
      <c r="R165" s="217"/>
      <c r="S165" s="217">
        <f t="shared" si="136"/>
        <v>111971051</v>
      </c>
      <c r="T165" s="217">
        <f t="shared" si="137"/>
        <v>161971051</v>
      </c>
      <c r="U165" s="217"/>
      <c r="V165" s="217">
        <v>14000000</v>
      </c>
      <c r="W165" s="217"/>
      <c r="X165" s="217">
        <v>-2850900</v>
      </c>
      <c r="Y165" s="217"/>
      <c r="Z165" s="217">
        <f t="shared" si="138"/>
        <v>11149100</v>
      </c>
      <c r="AA165" s="217">
        <f>Z165+T165</f>
        <v>173120151</v>
      </c>
      <c r="AB165" s="217"/>
      <c r="AC165" s="217"/>
      <c r="AD165" s="217"/>
      <c r="AE165" s="217">
        <f>-476264-99990-1490000-510000-450000</f>
        <v>-3026254</v>
      </c>
      <c r="AF165" s="217"/>
      <c r="AG165" s="217">
        <f t="shared" si="143"/>
        <v>-3026254</v>
      </c>
      <c r="AH165" s="217">
        <f t="shared" si="144"/>
        <v>170093897</v>
      </c>
      <c r="AI165" s="217">
        <v>108133669</v>
      </c>
      <c r="AJ165" s="764">
        <f t="shared" si="142"/>
        <v>63.572927016893502</v>
      </c>
    </row>
    <row r="166" spans="1:36" s="45" customFormat="1" ht="14.25" customHeight="1">
      <c r="A166" s="273"/>
      <c r="B166" s="273"/>
      <c r="C166" s="424"/>
      <c r="D166" s="411">
        <v>6</v>
      </c>
      <c r="E166" s="411" t="s">
        <v>198</v>
      </c>
      <c r="F166" s="412"/>
      <c r="G166" s="36"/>
      <c r="H166" s="162"/>
      <c r="I166" s="162" t="s">
        <v>213</v>
      </c>
      <c r="J166" s="217"/>
      <c r="K166" s="208">
        <v>13200000</v>
      </c>
      <c r="L166" s="217">
        <f t="shared" si="135"/>
        <v>13200000</v>
      </c>
      <c r="M166" s="217"/>
      <c r="N166" s="217"/>
      <c r="O166" s="217"/>
      <c r="P166" s="217"/>
      <c r="Q166" s="217"/>
      <c r="R166" s="217"/>
      <c r="S166" s="217">
        <f t="shared" si="136"/>
        <v>0</v>
      </c>
      <c r="T166" s="217">
        <f t="shared" si="137"/>
        <v>13200000</v>
      </c>
      <c r="U166" s="217"/>
      <c r="V166" s="217"/>
      <c r="W166" s="217"/>
      <c r="X166" s="217"/>
      <c r="Y166" s="217"/>
      <c r="Z166" s="217">
        <f t="shared" si="138"/>
        <v>0</v>
      </c>
      <c r="AA166" s="217">
        <f>Z166+T166</f>
        <v>13200000</v>
      </c>
      <c r="AB166" s="217"/>
      <c r="AC166" s="217"/>
      <c r="AD166" s="217"/>
      <c r="AE166" s="217"/>
      <c r="AF166" s="217">
        <v>293480</v>
      </c>
      <c r="AG166" s="217">
        <f t="shared" si="143"/>
        <v>293480</v>
      </c>
      <c r="AH166" s="217">
        <f t="shared" si="144"/>
        <v>13493480</v>
      </c>
      <c r="AI166" s="217">
        <v>11035888</v>
      </c>
      <c r="AJ166" s="764">
        <f t="shared" si="142"/>
        <v>81.786818522723564</v>
      </c>
    </row>
    <row r="167" spans="1:36" s="45" customFormat="1" ht="14.25" customHeight="1">
      <c r="A167" s="103"/>
      <c r="B167" s="103"/>
      <c r="C167" s="411"/>
      <c r="D167" s="411">
        <v>7</v>
      </c>
      <c r="E167" s="411" t="s">
        <v>199</v>
      </c>
      <c r="F167" s="412"/>
      <c r="G167" s="36"/>
      <c r="H167" s="162"/>
      <c r="I167" s="162" t="s">
        <v>214</v>
      </c>
      <c r="J167" s="128"/>
      <c r="K167" s="208"/>
      <c r="L167" s="217"/>
      <c r="M167" s="217">
        <f>10000000</f>
        <v>10000000</v>
      </c>
      <c r="N167" s="217"/>
      <c r="O167" s="217"/>
      <c r="P167" s="217"/>
      <c r="Q167" s="217"/>
      <c r="R167" s="217"/>
      <c r="S167" s="217">
        <f t="shared" si="136"/>
        <v>10000000</v>
      </c>
      <c r="T167" s="217">
        <f t="shared" si="137"/>
        <v>10000000</v>
      </c>
      <c r="U167" s="217"/>
      <c r="V167" s="217"/>
      <c r="W167" s="217"/>
      <c r="X167" s="217"/>
      <c r="Y167" s="217"/>
      <c r="Z167" s="217">
        <f t="shared" si="138"/>
        <v>0</v>
      </c>
      <c r="AA167" s="217">
        <f>Z167+T167</f>
        <v>10000000</v>
      </c>
      <c r="AB167" s="217"/>
      <c r="AC167" s="217"/>
      <c r="AD167" s="217"/>
      <c r="AE167" s="217"/>
      <c r="AF167" s="217"/>
      <c r="AG167" s="217">
        <f t="shared" si="143"/>
        <v>0</v>
      </c>
      <c r="AH167" s="217">
        <f t="shared" si="144"/>
        <v>10000000</v>
      </c>
      <c r="AI167" s="217">
        <v>8818855</v>
      </c>
      <c r="AJ167" s="764">
        <f t="shared" si="142"/>
        <v>88.188549999999992</v>
      </c>
    </row>
    <row r="168" spans="1:36" s="45" customFormat="1" ht="14.25" customHeight="1">
      <c r="A168" s="103"/>
      <c r="B168" s="103"/>
      <c r="C168" s="104"/>
      <c r="D168" s="104"/>
      <c r="E168" s="104"/>
      <c r="F168" s="276"/>
      <c r="G168" s="663"/>
      <c r="H168" s="662"/>
      <c r="I168" s="277"/>
      <c r="J168" s="46"/>
      <c r="K168" s="159"/>
      <c r="L168" s="157"/>
      <c r="M168" s="157"/>
      <c r="N168" s="157"/>
      <c r="O168" s="157"/>
      <c r="P168" s="157"/>
      <c r="Q168" s="157"/>
      <c r="R168" s="157"/>
      <c r="S168" s="157"/>
      <c r="T168" s="157"/>
      <c r="U168" s="157"/>
      <c r="V168" s="157"/>
      <c r="W168" s="157"/>
      <c r="X168" s="157"/>
      <c r="Y168" s="157"/>
      <c r="Z168" s="157"/>
      <c r="AA168" s="157"/>
      <c r="AB168" s="157"/>
      <c r="AC168" s="157"/>
      <c r="AD168" s="157"/>
      <c r="AE168" s="157"/>
      <c r="AF168" s="157"/>
      <c r="AG168" s="157"/>
      <c r="AH168" s="157"/>
      <c r="AI168" s="157"/>
      <c r="AJ168" s="749"/>
    </row>
    <row r="169" spans="1:36" s="45" customFormat="1" ht="14.25" customHeight="1">
      <c r="A169" s="103"/>
      <c r="B169" s="103"/>
      <c r="C169" s="104"/>
      <c r="D169" s="104"/>
      <c r="E169" s="104"/>
      <c r="F169" s="951" t="s">
        <v>37</v>
      </c>
      <c r="G169" s="952"/>
      <c r="H169" s="952"/>
      <c r="I169" s="953"/>
      <c r="J169" s="101">
        <f>SUM(J154:J168)</f>
        <v>1340042999</v>
      </c>
      <c r="K169" s="206">
        <f>SUM(K154:K168)</f>
        <v>63200000</v>
      </c>
      <c r="L169" s="101">
        <f>SUM(L154:L168)</f>
        <v>1403242999</v>
      </c>
      <c r="M169" s="101">
        <f t="shared" ref="M169:Y169" si="145">SUM(M154:M168)</f>
        <v>288163703</v>
      </c>
      <c r="N169" s="101">
        <f t="shared" si="145"/>
        <v>0</v>
      </c>
      <c r="O169" s="101">
        <f t="shared" si="145"/>
        <v>0</v>
      </c>
      <c r="P169" s="101">
        <f t="shared" si="145"/>
        <v>0</v>
      </c>
      <c r="Q169" s="101">
        <f t="shared" si="145"/>
        <v>1443933</v>
      </c>
      <c r="R169" s="101">
        <f t="shared" si="145"/>
        <v>13094317</v>
      </c>
      <c r="S169" s="101">
        <f t="shared" si="145"/>
        <v>302701953</v>
      </c>
      <c r="T169" s="101">
        <f t="shared" si="145"/>
        <v>1705944952</v>
      </c>
      <c r="U169" s="101">
        <f t="shared" si="145"/>
        <v>2000000</v>
      </c>
      <c r="V169" s="101">
        <f t="shared" si="145"/>
        <v>9000000</v>
      </c>
      <c r="W169" s="101">
        <f t="shared" si="145"/>
        <v>4048000</v>
      </c>
      <c r="X169" s="101">
        <f t="shared" si="145"/>
        <v>-1980455</v>
      </c>
      <c r="Y169" s="101">
        <f t="shared" si="145"/>
        <v>0</v>
      </c>
      <c r="Z169" s="101">
        <f t="shared" ref="Z169:AF169" si="146">SUM(Z154:Z168)</f>
        <v>13067545</v>
      </c>
      <c r="AA169" s="101">
        <f t="shared" si="146"/>
        <v>1719012497</v>
      </c>
      <c r="AB169" s="101">
        <f t="shared" si="146"/>
        <v>0</v>
      </c>
      <c r="AC169" s="101">
        <f t="shared" si="146"/>
        <v>0</v>
      </c>
      <c r="AD169" s="101">
        <f t="shared" si="146"/>
        <v>3511000</v>
      </c>
      <c r="AE169" s="101">
        <f t="shared" si="146"/>
        <v>-2191309</v>
      </c>
      <c r="AF169" s="101">
        <f t="shared" si="146"/>
        <v>8363914</v>
      </c>
      <c r="AG169" s="101">
        <f t="shared" ref="AG169:AI169" si="147">SUM(AG154:AG168)</f>
        <v>9683605</v>
      </c>
      <c r="AH169" s="101">
        <f t="shared" si="147"/>
        <v>1728696102</v>
      </c>
      <c r="AI169" s="101">
        <f t="shared" si="147"/>
        <v>1501796006</v>
      </c>
      <c r="AJ169" s="733">
        <f>AI169/AH169*100</f>
        <v>86.874494843975754</v>
      </c>
    </row>
    <row r="170" spans="1:36" s="45" customFormat="1" ht="5" customHeight="1">
      <c r="A170" s="103"/>
      <c r="B170" s="103"/>
      <c r="C170" s="104"/>
      <c r="D170" s="104"/>
      <c r="E170" s="104"/>
      <c r="F170" s="24"/>
      <c r="G170" s="25"/>
      <c r="H170" s="25"/>
      <c r="I170" s="25"/>
      <c r="J170" s="46"/>
      <c r="K170" s="159"/>
      <c r="L170" s="157"/>
      <c r="M170" s="157"/>
      <c r="N170" s="157"/>
      <c r="O170" s="157"/>
      <c r="P170" s="157"/>
      <c r="Q170" s="157"/>
      <c r="R170" s="157"/>
      <c r="S170" s="157"/>
      <c r="T170" s="157"/>
      <c r="U170" s="157"/>
      <c r="V170" s="157"/>
      <c r="W170" s="157"/>
      <c r="X170" s="157"/>
      <c r="Y170" s="157"/>
      <c r="Z170" s="157"/>
      <c r="AA170" s="157"/>
      <c r="AB170" s="157"/>
      <c r="AC170" s="157"/>
      <c r="AD170" s="157"/>
      <c r="AE170" s="157"/>
      <c r="AF170" s="157"/>
      <c r="AG170" s="157"/>
      <c r="AH170" s="157"/>
      <c r="AI170" s="157"/>
      <c r="AJ170" s="749"/>
    </row>
    <row r="171" spans="1:36" s="45" customFormat="1" ht="17.25" customHeight="1">
      <c r="A171" s="665"/>
      <c r="B171" s="666"/>
      <c r="C171" s="301"/>
      <c r="D171" s="301"/>
      <c r="E171" s="301"/>
      <c r="F171" s="877" t="s">
        <v>251</v>
      </c>
      <c r="G171" s="877"/>
      <c r="H171" s="877"/>
      <c r="I171" s="878"/>
      <c r="J171" s="51">
        <f>J157+J154+J163+J160</f>
        <v>42049965</v>
      </c>
      <c r="K171" s="207">
        <f>K157+K154+K163+K160</f>
        <v>0</v>
      </c>
      <c r="L171" s="51">
        <f>L157+L154+L163+L160</f>
        <v>42049965</v>
      </c>
      <c r="M171" s="51">
        <f t="shared" ref="M171:Y171" si="148">M157+M154+M163+M160</f>
        <v>421527</v>
      </c>
      <c r="N171" s="51">
        <f t="shared" si="148"/>
        <v>0</v>
      </c>
      <c r="O171" s="51">
        <f t="shared" si="148"/>
        <v>0</v>
      </c>
      <c r="P171" s="51">
        <f t="shared" si="148"/>
        <v>0</v>
      </c>
      <c r="Q171" s="51">
        <f t="shared" si="148"/>
        <v>-227000</v>
      </c>
      <c r="R171" s="51">
        <f t="shared" si="148"/>
        <v>0</v>
      </c>
      <c r="S171" s="51">
        <f t="shared" si="148"/>
        <v>194527</v>
      </c>
      <c r="T171" s="51">
        <f t="shared" si="148"/>
        <v>42244492</v>
      </c>
      <c r="U171" s="51">
        <f t="shared" si="148"/>
        <v>0</v>
      </c>
      <c r="V171" s="51">
        <f t="shared" si="148"/>
        <v>0</v>
      </c>
      <c r="W171" s="51">
        <f t="shared" si="148"/>
        <v>4048000</v>
      </c>
      <c r="X171" s="51">
        <f t="shared" si="148"/>
        <v>0</v>
      </c>
      <c r="Y171" s="51">
        <f t="shared" si="148"/>
        <v>0</v>
      </c>
      <c r="Z171" s="51">
        <f t="shared" ref="Z171:AF171" si="149">Z157+Z154+Z163+Z160</f>
        <v>4048000</v>
      </c>
      <c r="AA171" s="51">
        <f t="shared" si="149"/>
        <v>46292492</v>
      </c>
      <c r="AB171" s="51">
        <f t="shared" si="149"/>
        <v>0</v>
      </c>
      <c r="AC171" s="51">
        <f t="shared" si="149"/>
        <v>2963429</v>
      </c>
      <c r="AD171" s="51">
        <f t="shared" si="149"/>
        <v>3511000</v>
      </c>
      <c r="AE171" s="51">
        <f t="shared" si="149"/>
        <v>0</v>
      </c>
      <c r="AF171" s="51">
        <f t="shared" si="149"/>
        <v>0</v>
      </c>
      <c r="AG171" s="51">
        <f t="shared" ref="AG171:AH171" si="150">AG157+AG154+AG163+AG160</f>
        <v>6474429</v>
      </c>
      <c r="AH171" s="51">
        <f t="shared" si="150"/>
        <v>52766921</v>
      </c>
      <c r="AI171" s="51">
        <f t="shared" ref="AI171" si="151">AI157+AI154+AI163+AI160</f>
        <v>51323630</v>
      </c>
      <c r="AJ171" s="737">
        <f>AI171/AH171*100</f>
        <v>97.264780713659604</v>
      </c>
    </row>
    <row r="172" spans="1:36" s="45" customFormat="1" ht="3.5" customHeight="1">
      <c r="A172" s="103"/>
      <c r="B172" s="103"/>
      <c r="C172" s="104"/>
      <c r="D172" s="104"/>
      <c r="E172" s="104"/>
      <c r="F172" s="24"/>
      <c r="G172" s="25"/>
      <c r="H172" s="25"/>
      <c r="I172" s="25"/>
      <c r="J172" s="46"/>
      <c r="K172" s="159"/>
      <c r="L172" s="157"/>
      <c r="M172" s="157"/>
      <c r="N172" s="157"/>
      <c r="O172" s="157"/>
      <c r="P172" s="157"/>
      <c r="Q172" s="157"/>
      <c r="R172" s="157"/>
      <c r="S172" s="157"/>
      <c r="T172" s="157"/>
      <c r="U172" s="157"/>
      <c r="V172" s="157"/>
      <c r="W172" s="157"/>
      <c r="X172" s="157"/>
      <c r="Y172" s="157"/>
      <c r="Z172" s="157"/>
      <c r="AA172" s="157"/>
      <c r="AB172" s="157"/>
      <c r="AC172" s="157"/>
      <c r="AD172" s="157"/>
      <c r="AE172" s="157"/>
      <c r="AF172" s="157"/>
      <c r="AG172" s="157"/>
      <c r="AH172" s="157"/>
      <c r="AI172" s="157"/>
      <c r="AJ172" s="749"/>
    </row>
    <row r="173" spans="1:36" s="45" customFormat="1" ht="17.25" customHeight="1">
      <c r="A173" s="665"/>
      <c r="B173" s="666"/>
      <c r="C173" s="301"/>
      <c r="D173" s="301"/>
      <c r="E173" s="301"/>
      <c r="F173" s="877" t="s">
        <v>200</v>
      </c>
      <c r="G173" s="877"/>
      <c r="H173" s="877"/>
      <c r="I173" s="878"/>
      <c r="J173" s="51">
        <f>J167+J165+J161+J158+J155+J150+J139+J125+J123+J121+J120+J118+J116+J114+J110+J99+J85+J81+J79+J77+J73+J63+J52+J42+J29+J18</f>
        <v>7443833350</v>
      </c>
      <c r="K173" s="207">
        <f>K167+K165+K161+K158+K155+K150+K139+K125+K123+K121+K120+K118+K116+K114+K110+K99+K85+K81+K79+K77+K73+K63+K52+K42+K29+K18</f>
        <v>566468440</v>
      </c>
      <c r="L173" s="51">
        <f>L167+L165+L161+L158+L155+L150+L139+L125+L123+L121+L120+L118+L116+L114+L110+L99+L85+L81+L79+L77+L73+L63+L52+L42+L29+L18</f>
        <v>8010301790</v>
      </c>
      <c r="M173" s="51">
        <f t="shared" ref="M173:S173" si="152">M167+M165+M161+M158+M155+M150+M139+M125+M123+M121+M120+M118+M116+M114+M110+M99+M85+M81+M79+M77+M73+M63+M52+M42+M29+M18+M86+M83</f>
        <v>838525434</v>
      </c>
      <c r="N173" s="51">
        <f t="shared" si="152"/>
        <v>1235489</v>
      </c>
      <c r="O173" s="51">
        <f t="shared" si="152"/>
        <v>3000000</v>
      </c>
      <c r="P173" s="51">
        <f t="shared" si="152"/>
        <v>0</v>
      </c>
      <c r="Q173" s="51">
        <f t="shared" si="152"/>
        <v>129963413</v>
      </c>
      <c r="R173" s="51">
        <f>R167+R165+R161+R158+R155+R150+R139+R125+R123+R121+R120+R118+R116+R114+R110+R99+R85+R81+R79+R77+R73+R63+R52+R42+R29+R18+R86+R83</f>
        <v>240651215</v>
      </c>
      <c r="S173" s="51">
        <f t="shared" si="152"/>
        <v>1213375551</v>
      </c>
      <c r="T173" s="51">
        <f>T167+T165+T161+T158+T155+T150+T139+T125+T123+T121+T120+T118+T116+T114+T110+T99+T85+T81+T79+T77+T73+T63+T52+T42+T29+T18+T86+T83</f>
        <v>9223677341</v>
      </c>
      <c r="U173" s="51">
        <f t="shared" ref="U173:Y173" si="153">U167+U165+U161+U158+U155+U150+U139+U125+U123+U121+U120+U118+U116+U114+U110+U99+U85+U81+U79+U77+U73+U63+U52+U42+U29+U18+U86+U83</f>
        <v>18243682</v>
      </c>
      <c r="V173" s="51">
        <f t="shared" si="153"/>
        <v>35216663</v>
      </c>
      <c r="W173" s="51">
        <f t="shared" si="153"/>
        <v>0</v>
      </c>
      <c r="X173" s="51">
        <f t="shared" si="153"/>
        <v>65081735</v>
      </c>
      <c r="Y173" s="51">
        <f t="shared" si="153"/>
        <v>216095062</v>
      </c>
      <c r="Z173" s="51">
        <f t="shared" ref="Z173" si="154">Z167+Z165+Z161+Z158+Z155+Z150+Z139+Z125+Z123+Z121+Z120+Z118+Z116+Z114+Z110+Z99+Z85+Z81+Z79+Z77+Z73+Z63+Z52+Z42+Z29+Z18+Z86+Z83</f>
        <v>334637142</v>
      </c>
      <c r="AA173" s="51">
        <f>AA167+AA165+AA161+AA158+AA155+AA150+AA139+AA125+AA123+AA121+AA120+AA118+AA116+AA114+AA110+AA99+AA85+AA81+AA79+AA77+AA73+AA63+AA52+AA42+AA29+AA18+AA86+AA83</f>
        <v>9558314483</v>
      </c>
      <c r="AB173" s="51">
        <f t="shared" ref="AB173:AF173" si="155">AB167+AB165+AB161+AB158+AB155+AB150+AB139+AB125+AB123+AB121+AB120+AB118+AB116+AB114+AB110+AB99+AB85+AB81+AB79+AB77+AB73+AB63+AB52+AB42+AB29+AB18+AB86+AB83</f>
        <v>3000000</v>
      </c>
      <c r="AC173" s="51">
        <f t="shared" si="155"/>
        <v>188066666</v>
      </c>
      <c r="AD173" s="51">
        <f t="shared" si="155"/>
        <v>0</v>
      </c>
      <c r="AE173" s="51">
        <f t="shared" si="155"/>
        <v>60975978</v>
      </c>
      <c r="AF173" s="51">
        <f t="shared" si="155"/>
        <v>76674623</v>
      </c>
      <c r="AG173" s="51">
        <f t="shared" ref="AG173" si="156">AG167+AG165+AG161+AG158+AG155+AG150+AG139+AG125+AG123+AG121+AG120+AG118+AG116+AG114+AG110+AG99+AG85+AG81+AG79+AG77+AG73+AG63+AG52+AG42+AG29+AG18+AG86+AG83</f>
        <v>328717267</v>
      </c>
      <c r="AH173" s="51">
        <f>AH167+AH165+AH161+AH158+AH155+AH150+AH139+AH125+AH123+AH121+AH120+AH118+AH116+AH114+AH110+AH99+AH85+AH81+AH79+AH77+AH73+AH63+AH52+AH42+AH29+AH18+AH86+AH83</f>
        <v>9887031750</v>
      </c>
      <c r="AI173" s="51">
        <f>AI167+AI165+AI161+AI158+AI155+AI150+AI139+AI125+AI123+AI121+AI120+AI118+AI116+AI114+AI110+AI99+AI85+AI81+AI79+AI77+AI73+AI63+AI52+AI42+AI29+AI18+AI86+AI83</f>
        <v>8760861079</v>
      </c>
      <c r="AJ173" s="737">
        <f>AI173/AH173*100</f>
        <v>88.609618139438055</v>
      </c>
    </row>
    <row r="174" spans="1:36" s="45" customFormat="1" ht="5" customHeight="1">
      <c r="A174" s="103"/>
      <c r="B174" s="103"/>
      <c r="C174" s="104"/>
      <c r="D174" s="104"/>
      <c r="E174" s="104"/>
      <c r="F174" s="24"/>
      <c r="G174" s="25"/>
      <c r="H174" s="25"/>
      <c r="I174" s="25"/>
      <c r="J174" s="46"/>
      <c r="K174" s="159"/>
      <c r="L174" s="157"/>
      <c r="M174" s="157"/>
      <c r="N174" s="157"/>
      <c r="O174" s="157"/>
      <c r="P174" s="157"/>
      <c r="Q174" s="157"/>
      <c r="R174" s="157"/>
      <c r="S174" s="157"/>
      <c r="T174" s="157"/>
      <c r="U174" s="157"/>
      <c r="V174" s="157"/>
      <c r="W174" s="157"/>
      <c r="X174" s="157"/>
      <c r="Y174" s="157"/>
      <c r="Z174" s="157"/>
      <c r="AA174" s="157"/>
      <c r="AB174" s="157"/>
      <c r="AC174" s="157"/>
      <c r="AD174" s="157"/>
      <c r="AE174" s="157"/>
      <c r="AF174" s="157"/>
      <c r="AG174" s="157"/>
      <c r="AH174" s="157"/>
      <c r="AI174" s="157"/>
      <c r="AJ174" s="749"/>
    </row>
    <row r="175" spans="1:36" s="45" customFormat="1" ht="17.25" customHeight="1">
      <c r="A175" s="665"/>
      <c r="B175" s="666"/>
      <c r="C175" s="301"/>
      <c r="D175" s="301"/>
      <c r="E175" s="301"/>
      <c r="F175" s="877" t="s">
        <v>201</v>
      </c>
      <c r="G175" s="877"/>
      <c r="H175" s="877"/>
      <c r="I175" s="878" t="s">
        <v>197</v>
      </c>
      <c r="J175" s="51">
        <f>J126+J124+J119+J117+J115+J82+J80+J78+J156+J159+J162</f>
        <v>73761877</v>
      </c>
      <c r="K175" s="207">
        <f>K126+K124+K119+K117+K115+K82+K80+K78+K156+K159+K162+K166</f>
        <v>13835000</v>
      </c>
      <c r="L175" s="51">
        <f>L126+L124+L119+L117+L115+L82+L80+L78+L156+L159+L162+L166</f>
        <v>87596877</v>
      </c>
      <c r="M175" s="51">
        <f t="shared" ref="M175:Y175" si="157">M126+M124+M119+M117+M115+M82+M80+M78+M156+M159+M162+M166</f>
        <v>6668105</v>
      </c>
      <c r="N175" s="51">
        <f t="shared" si="157"/>
        <v>0</v>
      </c>
      <c r="O175" s="51">
        <f t="shared" si="157"/>
        <v>0</v>
      </c>
      <c r="P175" s="51">
        <f t="shared" si="157"/>
        <v>0</v>
      </c>
      <c r="Q175" s="51">
        <f t="shared" si="157"/>
        <v>214646</v>
      </c>
      <c r="R175" s="51">
        <f t="shared" si="157"/>
        <v>0</v>
      </c>
      <c r="S175" s="51">
        <f t="shared" si="157"/>
        <v>6882751</v>
      </c>
      <c r="T175" s="51">
        <f t="shared" si="157"/>
        <v>94479628</v>
      </c>
      <c r="U175" s="51">
        <f t="shared" si="157"/>
        <v>0</v>
      </c>
      <c r="V175" s="51">
        <f t="shared" si="157"/>
        <v>0</v>
      </c>
      <c r="W175" s="51">
        <f t="shared" si="157"/>
        <v>0</v>
      </c>
      <c r="X175" s="51">
        <f t="shared" si="157"/>
        <v>103605</v>
      </c>
      <c r="Y175" s="51">
        <f t="shared" si="157"/>
        <v>287350</v>
      </c>
      <c r="Z175" s="51">
        <f t="shared" ref="Z175:AF175" si="158">Z126+Z124+Z119+Z117+Z115+Z82+Z80+Z78+Z156+Z159+Z162+Z166</f>
        <v>390955</v>
      </c>
      <c r="AA175" s="51">
        <f t="shared" si="158"/>
        <v>94870583</v>
      </c>
      <c r="AB175" s="51">
        <f t="shared" si="158"/>
        <v>0</v>
      </c>
      <c r="AC175" s="51">
        <f t="shared" si="158"/>
        <v>3067200</v>
      </c>
      <c r="AD175" s="51">
        <f t="shared" si="158"/>
        <v>0</v>
      </c>
      <c r="AE175" s="51">
        <f t="shared" si="158"/>
        <v>103608</v>
      </c>
      <c r="AF175" s="51">
        <f t="shared" si="158"/>
        <v>7547319</v>
      </c>
      <c r="AG175" s="51">
        <f t="shared" ref="AG175" si="159">AG126+AG124+AG119+AG117+AG115+AG82+AG80+AG78+AG156+AG159+AG162+AG166</f>
        <v>10718127</v>
      </c>
      <c r="AH175" s="51">
        <f>AH126+AH124+AH119+AH117+AH115+AH82+AH80+AH78+AH156+AH159+AH162+AH166</f>
        <v>105588710</v>
      </c>
      <c r="AI175" s="51">
        <f>AI126+AI124+AI119+AI117+AI115+AI82+AI80+AI78+AI156+AI159+AI162+AI166</f>
        <v>59282524</v>
      </c>
      <c r="AJ175" s="737">
        <f>AI175/AH175*100</f>
        <v>56.144756385412798</v>
      </c>
    </row>
    <row r="176" spans="1:36" ht="4.5" customHeight="1" thickBot="1">
      <c r="A176" s="410"/>
      <c r="B176" s="410"/>
      <c r="C176" s="411"/>
      <c r="D176" s="411"/>
      <c r="E176" s="411"/>
      <c r="F176" s="412"/>
      <c r="G176" s="36"/>
      <c r="H176" s="162"/>
      <c r="I176" s="162"/>
      <c r="J176" s="128"/>
      <c r="K176" s="208"/>
      <c r="L176" s="217"/>
      <c r="M176" s="217"/>
      <c r="N176" s="217"/>
      <c r="O176" s="217"/>
      <c r="P176" s="217"/>
      <c r="Q176" s="217"/>
      <c r="R176" s="217"/>
      <c r="S176" s="217"/>
      <c r="T176" s="217"/>
      <c r="U176" s="217"/>
      <c r="V176" s="217"/>
      <c r="W176" s="217"/>
      <c r="X176" s="217"/>
      <c r="Y176" s="217"/>
      <c r="Z176" s="217"/>
      <c r="AA176" s="217"/>
      <c r="AB176" s="217"/>
      <c r="AC176" s="217"/>
      <c r="AD176" s="217"/>
      <c r="AE176" s="217"/>
      <c r="AF176" s="217"/>
      <c r="AG176" s="217"/>
      <c r="AH176" s="217"/>
      <c r="AI176" s="217"/>
      <c r="AJ176" s="764"/>
    </row>
    <row r="177" spans="1:36" ht="14.5" thickBot="1">
      <c r="A177" s="432"/>
      <c r="B177" s="433"/>
      <c r="C177" s="434"/>
      <c r="D177" s="434"/>
      <c r="E177" s="434"/>
      <c r="F177" s="435" t="s">
        <v>63</v>
      </c>
      <c r="G177" s="435"/>
      <c r="H177" s="436"/>
      <c r="I177" s="435"/>
      <c r="J177" s="437">
        <f>SUM(J171:J175)</f>
        <v>7559645192</v>
      </c>
      <c r="K177" s="438">
        <f>SUM(K171:K175)</f>
        <v>580303440</v>
      </c>
      <c r="L177" s="439">
        <f>SUM(L171:L175)</f>
        <v>8139948632</v>
      </c>
      <c r="M177" s="439">
        <f t="shared" ref="M177:Y177" si="160">SUM(M171:M175)</f>
        <v>845615066</v>
      </c>
      <c r="N177" s="439">
        <f t="shared" si="160"/>
        <v>1235489</v>
      </c>
      <c r="O177" s="439">
        <f t="shared" si="160"/>
        <v>3000000</v>
      </c>
      <c r="P177" s="439">
        <f t="shared" si="160"/>
        <v>0</v>
      </c>
      <c r="Q177" s="439">
        <f t="shared" si="160"/>
        <v>129951059</v>
      </c>
      <c r="R177" s="439">
        <f t="shared" si="160"/>
        <v>240651215</v>
      </c>
      <c r="S177" s="439">
        <f t="shared" si="160"/>
        <v>1220452829</v>
      </c>
      <c r="T177" s="439">
        <f t="shared" si="160"/>
        <v>9360401461</v>
      </c>
      <c r="U177" s="439">
        <f t="shared" si="160"/>
        <v>18243682</v>
      </c>
      <c r="V177" s="439">
        <f t="shared" si="160"/>
        <v>35216663</v>
      </c>
      <c r="W177" s="439">
        <f t="shared" si="160"/>
        <v>4048000</v>
      </c>
      <c r="X177" s="439">
        <f t="shared" si="160"/>
        <v>65185340</v>
      </c>
      <c r="Y177" s="439">
        <f t="shared" si="160"/>
        <v>216382412</v>
      </c>
      <c r="Z177" s="439">
        <f t="shared" ref="Z177:AF177" si="161">SUM(Z171:Z175)</f>
        <v>339076097</v>
      </c>
      <c r="AA177" s="439">
        <f t="shared" si="161"/>
        <v>9699477558</v>
      </c>
      <c r="AB177" s="439">
        <f t="shared" si="161"/>
        <v>3000000</v>
      </c>
      <c r="AC177" s="439">
        <f t="shared" si="161"/>
        <v>194097295</v>
      </c>
      <c r="AD177" s="439">
        <f t="shared" si="161"/>
        <v>3511000</v>
      </c>
      <c r="AE177" s="439">
        <f t="shared" si="161"/>
        <v>61079586</v>
      </c>
      <c r="AF177" s="439">
        <f t="shared" si="161"/>
        <v>84221942</v>
      </c>
      <c r="AG177" s="439">
        <f t="shared" ref="AG177:AH177" si="162">SUM(AG171:AG175)</f>
        <v>345909823</v>
      </c>
      <c r="AH177" s="439">
        <f t="shared" si="162"/>
        <v>10045387381</v>
      </c>
      <c r="AI177" s="439">
        <f t="shared" ref="AI177" si="163">SUM(AI171:AI175)</f>
        <v>8871467233</v>
      </c>
      <c r="AJ177" s="767">
        <f>AI177/AH177*100</f>
        <v>88.313838944425669</v>
      </c>
    </row>
    <row r="178" spans="1:36" ht="16.5" customHeight="1">
      <c r="A178" s="440"/>
      <c r="B178" s="440"/>
      <c r="C178" s="440"/>
      <c r="D178" s="440"/>
      <c r="E178" s="440"/>
      <c r="F178" s="239"/>
      <c r="G178" s="239"/>
      <c r="H178" s="239"/>
      <c r="I178" s="239"/>
      <c r="J178" s="407"/>
      <c r="K178" s="408"/>
      <c r="L178" s="409"/>
      <c r="M178" s="409"/>
      <c r="N178" s="409"/>
      <c r="O178" s="409"/>
      <c r="P178" s="409"/>
      <c r="Q178" s="409"/>
      <c r="R178" s="409"/>
      <c r="S178" s="409"/>
      <c r="T178" s="409"/>
      <c r="U178" s="409"/>
      <c r="V178" s="409"/>
      <c r="W178" s="409"/>
      <c r="X178" s="409"/>
      <c r="Y178" s="409"/>
      <c r="Z178" s="409"/>
      <c r="AA178" s="409"/>
      <c r="AB178" s="409"/>
      <c r="AC178" s="409"/>
      <c r="AD178" s="409"/>
      <c r="AE178" s="409"/>
      <c r="AF178" s="409"/>
      <c r="AG178" s="409"/>
      <c r="AH178" s="409"/>
      <c r="AI178" s="409"/>
      <c r="AJ178" s="763"/>
    </row>
    <row r="179" spans="1:36" ht="17.5">
      <c r="A179" s="441"/>
      <c r="B179" s="441"/>
      <c r="C179" s="133"/>
      <c r="D179" s="133"/>
      <c r="E179" s="133"/>
      <c r="F179" s="442" t="s">
        <v>183</v>
      </c>
      <c r="G179" s="443"/>
      <c r="H179" s="444"/>
      <c r="I179" s="444"/>
      <c r="J179" s="445"/>
      <c r="K179" s="446"/>
      <c r="L179" s="447"/>
      <c r="M179" s="447"/>
      <c r="N179" s="447"/>
      <c r="O179" s="447"/>
      <c r="P179" s="447"/>
      <c r="Q179" s="447"/>
      <c r="R179" s="447"/>
      <c r="S179" s="447"/>
      <c r="T179" s="447"/>
      <c r="U179" s="447"/>
      <c r="V179" s="447"/>
      <c r="W179" s="447"/>
      <c r="X179" s="447"/>
      <c r="Y179" s="447"/>
      <c r="Z179" s="447"/>
      <c r="AA179" s="447"/>
      <c r="AB179" s="447"/>
      <c r="AC179" s="447"/>
      <c r="AD179" s="447"/>
      <c r="AE179" s="447"/>
      <c r="AF179" s="447"/>
      <c r="AG179" s="447"/>
      <c r="AH179" s="447"/>
      <c r="AI179" s="447"/>
      <c r="AJ179" s="768"/>
    </row>
    <row r="180" spans="1:36">
      <c r="A180" s="441"/>
      <c r="B180" s="441"/>
      <c r="C180" s="133"/>
      <c r="D180" s="133"/>
      <c r="E180" s="133"/>
      <c r="F180" s="448"/>
      <c r="G180" s="449"/>
      <c r="H180" s="450"/>
      <c r="I180" s="450"/>
      <c r="J180" s="445"/>
      <c r="K180" s="446"/>
      <c r="L180" s="447"/>
      <c r="M180" s="447"/>
      <c r="N180" s="447"/>
      <c r="O180" s="447"/>
      <c r="P180" s="447"/>
      <c r="Q180" s="447"/>
      <c r="R180" s="447"/>
      <c r="S180" s="447"/>
      <c r="T180" s="447"/>
      <c r="U180" s="447"/>
      <c r="V180" s="447"/>
      <c r="W180" s="447"/>
      <c r="X180" s="447"/>
      <c r="Y180" s="447"/>
      <c r="Z180" s="447"/>
      <c r="AA180" s="447"/>
      <c r="AB180" s="447"/>
      <c r="AC180" s="447"/>
      <c r="AD180" s="447"/>
      <c r="AE180" s="447"/>
      <c r="AF180" s="447"/>
      <c r="AG180" s="447"/>
      <c r="AH180" s="447"/>
      <c r="AI180" s="447"/>
      <c r="AJ180" s="768"/>
    </row>
    <row r="181" spans="1:36" ht="14">
      <c r="A181" s="40">
        <v>1</v>
      </c>
      <c r="B181" s="40"/>
      <c r="C181" s="124"/>
      <c r="D181" s="124"/>
      <c r="E181" s="124"/>
      <c r="F181" s="451" t="s">
        <v>40</v>
      </c>
      <c r="G181" s="41"/>
      <c r="H181" s="66"/>
      <c r="I181" s="66"/>
      <c r="J181" s="452"/>
      <c r="K181" s="453"/>
      <c r="L181" s="454"/>
      <c r="M181" s="454"/>
      <c r="N181" s="454"/>
      <c r="O181" s="454"/>
      <c r="P181" s="454"/>
      <c r="Q181" s="454"/>
      <c r="R181" s="454"/>
      <c r="S181" s="454"/>
      <c r="T181" s="454"/>
      <c r="U181" s="454"/>
      <c r="V181" s="454"/>
      <c r="W181" s="454"/>
      <c r="X181" s="454"/>
      <c r="Y181" s="454"/>
      <c r="Z181" s="454"/>
      <c r="AA181" s="454"/>
      <c r="AB181" s="454"/>
      <c r="AC181" s="454"/>
      <c r="AD181" s="454"/>
      <c r="AE181" s="454"/>
      <c r="AF181" s="454"/>
      <c r="AG181" s="454"/>
      <c r="AH181" s="454"/>
      <c r="AI181" s="454"/>
      <c r="AJ181" s="769"/>
    </row>
    <row r="182" spans="1:36" ht="27.5" customHeight="1">
      <c r="A182" s="40"/>
      <c r="B182" s="40">
        <v>1</v>
      </c>
      <c r="C182" s="124"/>
      <c r="D182" s="124"/>
      <c r="F182" s="451"/>
      <c r="G182" s="935" t="s">
        <v>433</v>
      </c>
      <c r="H182" s="935"/>
      <c r="I182" s="936"/>
      <c r="J182" s="452"/>
      <c r="K182" s="453"/>
      <c r="L182" s="454"/>
      <c r="M182" s="454"/>
      <c r="N182" s="454"/>
      <c r="O182" s="454"/>
      <c r="P182" s="454"/>
      <c r="Q182" s="454"/>
      <c r="R182" s="454"/>
      <c r="S182" s="454"/>
      <c r="T182" s="454"/>
      <c r="U182" s="454"/>
      <c r="V182" s="454"/>
      <c r="W182" s="454"/>
      <c r="X182" s="454"/>
      <c r="Y182" s="454"/>
      <c r="Z182" s="454"/>
      <c r="AA182" s="454"/>
      <c r="AB182" s="454"/>
      <c r="AC182" s="454"/>
      <c r="AD182" s="454"/>
      <c r="AE182" s="454"/>
      <c r="AF182" s="454"/>
      <c r="AG182" s="454"/>
      <c r="AH182" s="454"/>
      <c r="AI182" s="454"/>
      <c r="AJ182" s="769"/>
    </row>
    <row r="183" spans="1:36" ht="14">
      <c r="A183" s="40"/>
      <c r="B183" s="40"/>
      <c r="C183" s="124">
        <v>1</v>
      </c>
      <c r="D183" s="124"/>
      <c r="E183" s="124"/>
      <c r="F183" s="451"/>
      <c r="G183" s="41"/>
      <c r="H183" s="66" t="s">
        <v>35</v>
      </c>
      <c r="I183" s="66"/>
      <c r="J183" s="452"/>
      <c r="K183" s="453"/>
      <c r="L183" s="454"/>
      <c r="M183" s="454"/>
      <c r="N183" s="454"/>
      <c r="O183" s="454"/>
      <c r="P183" s="454"/>
      <c r="Q183" s="454"/>
      <c r="R183" s="454"/>
      <c r="S183" s="454"/>
      <c r="T183" s="454"/>
      <c r="U183" s="454"/>
      <c r="V183" s="454"/>
      <c r="W183" s="454"/>
      <c r="X183" s="454"/>
      <c r="Y183" s="454"/>
      <c r="Z183" s="454"/>
      <c r="AA183" s="454"/>
      <c r="AB183" s="454"/>
      <c r="AC183" s="454"/>
      <c r="AD183" s="454"/>
      <c r="AE183" s="454"/>
      <c r="AF183" s="454"/>
      <c r="AG183" s="454"/>
      <c r="AH183" s="454"/>
      <c r="AI183" s="454"/>
      <c r="AJ183" s="769"/>
    </row>
    <row r="184" spans="1:36" ht="14">
      <c r="A184" s="40"/>
      <c r="B184" s="40"/>
      <c r="C184" s="124"/>
      <c r="D184" s="124">
        <v>3</v>
      </c>
      <c r="E184" s="124" t="s">
        <v>199</v>
      </c>
      <c r="F184" s="451"/>
      <c r="G184" s="41"/>
      <c r="H184" s="66"/>
      <c r="I184" s="66" t="s">
        <v>116</v>
      </c>
      <c r="J184" s="452">
        <v>33000000</v>
      </c>
      <c r="K184" s="453"/>
      <c r="L184" s="217">
        <f>SUM(J184:K184)</f>
        <v>33000000</v>
      </c>
      <c r="M184" s="217">
        <v>20933002</v>
      </c>
      <c r="N184" s="217"/>
      <c r="O184" s="217">
        <v>5000000</v>
      </c>
      <c r="P184" s="217"/>
      <c r="Q184" s="217"/>
      <c r="R184" s="217"/>
      <c r="S184" s="217">
        <f>SUM(M184:R184)</f>
        <v>25933002</v>
      </c>
      <c r="T184" s="217">
        <f>S184+L184</f>
        <v>58933002</v>
      </c>
      <c r="U184" s="217"/>
      <c r="V184" s="217"/>
      <c r="W184" s="217"/>
      <c r="X184" s="217"/>
      <c r="Y184" s="217"/>
      <c r="Z184" s="217">
        <f>SUM(U184:Y184)</f>
        <v>0</v>
      </c>
      <c r="AA184" s="217">
        <f>Z184+T184</f>
        <v>58933002</v>
      </c>
      <c r="AB184" s="217"/>
      <c r="AC184" s="217"/>
      <c r="AD184" s="217"/>
      <c r="AE184" s="217">
        <v>-5920814</v>
      </c>
      <c r="AF184" s="217"/>
      <c r="AG184" s="217">
        <f t="shared" ref="AG184" si="164">SUM(AB184:AF184)</f>
        <v>-5920814</v>
      </c>
      <c r="AH184" s="217">
        <f t="shared" ref="AH184" si="165">AG184+AA184</f>
        <v>53012188</v>
      </c>
      <c r="AI184" s="217">
        <v>31825654</v>
      </c>
      <c r="AJ184" s="764">
        <f>AI184/AH184*100</f>
        <v>60.034598081482692</v>
      </c>
    </row>
    <row r="185" spans="1:36" ht="6.5" customHeight="1">
      <c r="A185" s="40"/>
      <c r="B185" s="40"/>
      <c r="C185" s="124"/>
      <c r="D185" s="124"/>
      <c r="E185" s="124"/>
      <c r="F185" s="451"/>
      <c r="G185" s="41"/>
      <c r="H185" s="66"/>
      <c r="I185" s="66"/>
      <c r="J185" s="452"/>
      <c r="K185" s="453"/>
      <c r="L185" s="454"/>
      <c r="M185" s="454"/>
      <c r="N185" s="454"/>
      <c r="O185" s="454"/>
      <c r="P185" s="454"/>
      <c r="Q185" s="454"/>
      <c r="R185" s="454"/>
      <c r="S185" s="454"/>
      <c r="T185" s="454"/>
      <c r="U185" s="454"/>
      <c r="V185" s="454"/>
      <c r="W185" s="454"/>
      <c r="X185" s="454"/>
      <c r="Y185" s="454"/>
      <c r="Z185" s="454"/>
      <c r="AA185" s="454"/>
      <c r="AB185" s="454"/>
      <c r="AC185" s="454"/>
      <c r="AD185" s="454"/>
      <c r="AE185" s="454"/>
      <c r="AF185" s="454"/>
      <c r="AG185" s="454"/>
      <c r="AH185" s="454"/>
      <c r="AI185" s="454"/>
      <c r="AJ185" s="769"/>
    </row>
    <row r="186" spans="1:36" ht="14">
      <c r="A186" s="40"/>
      <c r="B186" s="40"/>
      <c r="C186" s="124"/>
      <c r="D186" s="124"/>
      <c r="E186" s="124"/>
      <c r="F186" s="455" t="s">
        <v>38</v>
      </c>
      <c r="G186" s="455"/>
      <c r="H186" s="456"/>
      <c r="I186" s="455"/>
      <c r="J186" s="333">
        <f>SUM(J178:J185)</f>
        <v>33000000</v>
      </c>
      <c r="K186" s="457"/>
      <c r="L186" s="458">
        <f>SUM(L178:L185)</f>
        <v>33000000</v>
      </c>
      <c r="M186" s="458">
        <f>SUM(M184:M185)</f>
        <v>20933002</v>
      </c>
      <c r="N186" s="458">
        <f t="shared" ref="N186:T186" si="166">SUM(N184:N185)</f>
        <v>0</v>
      </c>
      <c r="O186" s="458">
        <f t="shared" si="166"/>
        <v>5000000</v>
      </c>
      <c r="P186" s="458">
        <f t="shared" si="166"/>
        <v>0</v>
      </c>
      <c r="Q186" s="458">
        <f t="shared" si="166"/>
        <v>0</v>
      </c>
      <c r="R186" s="458">
        <f t="shared" si="166"/>
        <v>0</v>
      </c>
      <c r="S186" s="458">
        <f t="shared" si="166"/>
        <v>25933002</v>
      </c>
      <c r="T186" s="458">
        <f t="shared" si="166"/>
        <v>58933002</v>
      </c>
      <c r="U186" s="458"/>
      <c r="V186" s="458"/>
      <c r="W186" s="458"/>
      <c r="X186" s="458"/>
      <c r="Y186" s="458"/>
      <c r="Z186" s="458">
        <f t="shared" ref="Z186:AA186" si="167">SUM(Z184:Z185)</f>
        <v>0</v>
      </c>
      <c r="AA186" s="458">
        <f t="shared" si="167"/>
        <v>58933002</v>
      </c>
      <c r="AB186" s="458"/>
      <c r="AC186" s="458"/>
      <c r="AD186" s="458"/>
      <c r="AE186" s="458">
        <f t="shared" ref="AE186:AI186" si="168">SUM(AE184:AE185)</f>
        <v>-5920814</v>
      </c>
      <c r="AF186" s="458"/>
      <c r="AG186" s="458">
        <f t="shared" si="168"/>
        <v>-5920814</v>
      </c>
      <c r="AH186" s="458">
        <f t="shared" si="168"/>
        <v>53012188</v>
      </c>
      <c r="AI186" s="458">
        <f t="shared" si="168"/>
        <v>31825654</v>
      </c>
      <c r="AJ186" s="770">
        <f>AI186/AH186*100</f>
        <v>60.034598081482692</v>
      </c>
    </row>
    <row r="187" spans="1:36" ht="14">
      <c r="A187" s="40"/>
      <c r="B187" s="40"/>
      <c r="C187" s="124"/>
      <c r="D187" s="124"/>
      <c r="E187" s="124"/>
      <c r="F187" s="451"/>
      <c r="G187" s="41"/>
      <c r="H187" s="66"/>
      <c r="I187" s="41"/>
      <c r="J187" s="126"/>
      <c r="K187" s="204"/>
      <c r="L187" s="205"/>
      <c r="M187" s="205"/>
      <c r="N187" s="205"/>
      <c r="O187" s="205"/>
      <c r="P187" s="205"/>
      <c r="Q187" s="205"/>
      <c r="R187" s="205"/>
      <c r="S187" s="205"/>
      <c r="T187" s="205"/>
      <c r="U187" s="205"/>
      <c r="V187" s="205"/>
      <c r="W187" s="205"/>
      <c r="X187" s="205"/>
      <c r="Y187" s="205"/>
      <c r="Z187" s="205"/>
      <c r="AA187" s="205"/>
      <c r="AB187" s="205"/>
      <c r="AC187" s="205"/>
      <c r="AD187" s="205"/>
      <c r="AE187" s="205"/>
      <c r="AF187" s="205"/>
      <c r="AG187" s="205"/>
      <c r="AH187" s="205"/>
      <c r="AI187" s="205"/>
      <c r="AJ187" s="747"/>
    </row>
    <row r="188" spans="1:36" ht="14">
      <c r="A188" s="40"/>
      <c r="B188" s="40">
        <v>2</v>
      </c>
      <c r="C188" s="124"/>
      <c r="D188" s="124"/>
      <c r="F188" s="451"/>
      <c r="G188" s="459" t="s">
        <v>168</v>
      </c>
      <c r="H188" s="66"/>
      <c r="I188" s="66"/>
      <c r="J188" s="452"/>
      <c r="K188" s="453"/>
      <c r="L188" s="454"/>
      <c r="M188" s="454"/>
      <c r="N188" s="454"/>
      <c r="O188" s="454"/>
      <c r="P188" s="454"/>
      <c r="Q188" s="454"/>
      <c r="R188" s="454"/>
      <c r="S188" s="454"/>
      <c r="T188" s="454"/>
      <c r="U188" s="454"/>
      <c r="V188" s="454"/>
      <c r="W188" s="454"/>
      <c r="X188" s="454"/>
      <c r="Y188" s="454"/>
      <c r="Z188" s="454"/>
      <c r="AA188" s="454"/>
      <c r="AB188" s="454"/>
      <c r="AC188" s="454"/>
      <c r="AD188" s="454"/>
      <c r="AE188" s="454"/>
      <c r="AF188" s="454"/>
      <c r="AG188" s="454"/>
      <c r="AH188" s="454"/>
      <c r="AI188" s="454"/>
      <c r="AJ188" s="769"/>
    </row>
    <row r="189" spans="1:36" ht="14">
      <c r="A189" s="40"/>
      <c r="B189" s="40"/>
      <c r="C189" s="124">
        <v>1</v>
      </c>
      <c r="D189" s="124"/>
      <c r="E189" s="124"/>
      <c r="F189" s="451"/>
      <c r="G189" s="41"/>
      <c r="H189" s="66" t="s">
        <v>35</v>
      </c>
      <c r="I189" s="66"/>
      <c r="J189" s="452"/>
      <c r="K189" s="453"/>
      <c r="L189" s="454"/>
      <c r="M189" s="454"/>
      <c r="N189" s="454"/>
      <c r="O189" s="454"/>
      <c r="P189" s="454"/>
      <c r="Q189" s="454"/>
      <c r="R189" s="454"/>
      <c r="S189" s="454"/>
      <c r="T189" s="454"/>
      <c r="U189" s="454"/>
      <c r="V189" s="454"/>
      <c r="W189" s="454"/>
      <c r="X189" s="454"/>
      <c r="Y189" s="454"/>
      <c r="Z189" s="454"/>
      <c r="AA189" s="454"/>
      <c r="AB189" s="454"/>
      <c r="AC189" s="454"/>
      <c r="AD189" s="454"/>
      <c r="AE189" s="454"/>
      <c r="AF189" s="454"/>
      <c r="AG189" s="454"/>
      <c r="AH189" s="454"/>
      <c r="AI189" s="454"/>
      <c r="AJ189" s="769"/>
    </row>
    <row r="190" spans="1:36" ht="14">
      <c r="A190" s="40"/>
      <c r="B190" s="40"/>
      <c r="C190" s="124"/>
      <c r="D190" s="124">
        <v>1</v>
      </c>
      <c r="E190" s="124" t="s">
        <v>198</v>
      </c>
      <c r="F190" s="451"/>
      <c r="G190" s="41"/>
      <c r="H190" s="66"/>
      <c r="I190" s="162" t="s">
        <v>180</v>
      </c>
      <c r="J190" s="452">
        <v>700000</v>
      </c>
      <c r="K190" s="453"/>
      <c r="L190" s="217">
        <f>SUM(J190:K190)</f>
        <v>700000</v>
      </c>
      <c r="M190" s="217"/>
      <c r="N190" s="217"/>
      <c r="O190" s="217"/>
      <c r="P190" s="217"/>
      <c r="Q190" s="217"/>
      <c r="R190" s="217"/>
      <c r="S190" s="217">
        <f t="shared" ref="S190:S192" si="169">SUM(M190:R190)</f>
        <v>0</v>
      </c>
      <c r="T190" s="217">
        <f t="shared" ref="T190:T192" si="170">S190+L190</f>
        <v>700000</v>
      </c>
      <c r="U190" s="217"/>
      <c r="V190" s="217"/>
      <c r="W190" s="217"/>
      <c r="X190" s="217"/>
      <c r="Y190" s="217"/>
      <c r="Z190" s="217">
        <f>SUM(U190:Y190)</f>
        <v>0</v>
      </c>
      <c r="AA190" s="217">
        <f>Z190+T190</f>
        <v>700000</v>
      </c>
      <c r="AB190" s="217"/>
      <c r="AC190" s="217"/>
      <c r="AD190" s="217"/>
      <c r="AE190" s="217">
        <v>-68847</v>
      </c>
      <c r="AF190" s="217"/>
      <c r="AG190" s="217">
        <f t="shared" ref="AG190:AG192" si="171">SUM(AB190:AF190)</f>
        <v>-68847</v>
      </c>
      <c r="AH190" s="217">
        <f t="shared" ref="AH190:AH192" si="172">AG190+AA190</f>
        <v>631153</v>
      </c>
      <c r="AI190" s="217">
        <v>391673</v>
      </c>
      <c r="AJ190" s="764">
        <f t="shared" ref="AJ190:AJ192" si="173">AI190/AH190*100</f>
        <v>62.056743768943498</v>
      </c>
    </row>
    <row r="191" spans="1:36" ht="14">
      <c r="A191" s="40"/>
      <c r="B191" s="40"/>
      <c r="C191" s="124"/>
      <c r="D191" s="124">
        <v>2</v>
      </c>
      <c r="E191" s="124" t="s">
        <v>198</v>
      </c>
      <c r="F191" s="451"/>
      <c r="G191" s="41"/>
      <c r="H191" s="66"/>
      <c r="I191" s="162" t="s">
        <v>182</v>
      </c>
      <c r="J191" s="452">
        <v>157353</v>
      </c>
      <c r="K191" s="453"/>
      <c r="L191" s="217">
        <f>SUM(J191:K191)</f>
        <v>157353</v>
      </c>
      <c r="M191" s="217">
        <v>3505</v>
      </c>
      <c r="N191" s="217"/>
      <c r="O191" s="217"/>
      <c r="P191" s="217"/>
      <c r="Q191" s="217"/>
      <c r="R191" s="217"/>
      <c r="S191" s="217">
        <f t="shared" si="169"/>
        <v>3505</v>
      </c>
      <c r="T191" s="217">
        <f t="shared" si="170"/>
        <v>160858</v>
      </c>
      <c r="U191" s="217"/>
      <c r="V191" s="217"/>
      <c r="W191" s="217"/>
      <c r="X191" s="217"/>
      <c r="Y191" s="217"/>
      <c r="Z191" s="217">
        <f>SUM(U191:Y191)</f>
        <v>0</v>
      </c>
      <c r="AA191" s="217">
        <f>Z191+T191</f>
        <v>160858</v>
      </c>
      <c r="AB191" s="217"/>
      <c r="AC191" s="217"/>
      <c r="AD191" s="217"/>
      <c r="AE191" s="217">
        <v>-15476</v>
      </c>
      <c r="AF191" s="217"/>
      <c r="AG191" s="217">
        <f t="shared" si="171"/>
        <v>-15476</v>
      </c>
      <c r="AH191" s="217">
        <f t="shared" si="172"/>
        <v>145382</v>
      </c>
      <c r="AI191" s="217">
        <v>127206</v>
      </c>
      <c r="AJ191" s="764">
        <f t="shared" si="173"/>
        <v>87.497764510049393</v>
      </c>
    </row>
    <row r="192" spans="1:36" ht="14">
      <c r="A192" s="40"/>
      <c r="B192" s="40"/>
      <c r="C192" s="124"/>
      <c r="D192" s="124">
        <v>3</v>
      </c>
      <c r="E192" s="124" t="s">
        <v>198</v>
      </c>
      <c r="F192" s="451"/>
      <c r="G192" s="41"/>
      <c r="H192" s="66"/>
      <c r="I192" s="66" t="s">
        <v>116</v>
      </c>
      <c r="J192" s="452">
        <v>2142647</v>
      </c>
      <c r="K192" s="453"/>
      <c r="L192" s="217">
        <f>SUM(J192:K192)</f>
        <v>2142647</v>
      </c>
      <c r="M192" s="217">
        <v>279002</v>
      </c>
      <c r="N192" s="217"/>
      <c r="O192" s="217"/>
      <c r="P192" s="217"/>
      <c r="Q192" s="217"/>
      <c r="R192" s="217"/>
      <c r="S192" s="217">
        <f t="shared" si="169"/>
        <v>279002</v>
      </c>
      <c r="T192" s="217">
        <f t="shared" si="170"/>
        <v>2421649</v>
      </c>
      <c r="U192" s="217"/>
      <c r="V192" s="217"/>
      <c r="W192" s="217"/>
      <c r="X192" s="217"/>
      <c r="Y192" s="217"/>
      <c r="Z192" s="217">
        <f>SUM(U192:Y192)</f>
        <v>0</v>
      </c>
      <c r="AA192" s="217">
        <f>Z192+T192</f>
        <v>2421649</v>
      </c>
      <c r="AB192" s="217"/>
      <c r="AC192" s="217"/>
      <c r="AD192" s="217"/>
      <c r="AE192" s="217">
        <v>-182589</v>
      </c>
      <c r="AF192" s="217"/>
      <c r="AG192" s="217">
        <f t="shared" si="171"/>
        <v>-182589</v>
      </c>
      <c r="AH192" s="217">
        <f t="shared" si="172"/>
        <v>2239060</v>
      </c>
      <c r="AI192" s="217">
        <v>702711</v>
      </c>
      <c r="AJ192" s="764">
        <f t="shared" si="173"/>
        <v>31.384196939787234</v>
      </c>
    </row>
    <row r="193" spans="1:36" ht="14">
      <c r="A193" s="40"/>
      <c r="B193" s="40"/>
      <c r="C193" s="124"/>
      <c r="D193" s="124"/>
      <c r="E193" s="124"/>
      <c r="F193" s="451"/>
      <c r="G193" s="41"/>
      <c r="H193" s="66"/>
      <c r="I193" s="66"/>
      <c r="J193" s="452"/>
      <c r="K193" s="453"/>
      <c r="L193" s="454"/>
      <c r="M193" s="454"/>
      <c r="N193" s="454"/>
      <c r="O193" s="454"/>
      <c r="P193" s="454"/>
      <c r="Q193" s="454"/>
      <c r="R193" s="454"/>
      <c r="S193" s="454"/>
      <c r="T193" s="454"/>
      <c r="U193" s="454"/>
      <c r="V193" s="454"/>
      <c r="W193" s="454"/>
      <c r="X193" s="454"/>
      <c r="Y193" s="454"/>
      <c r="Z193" s="454"/>
      <c r="AA193" s="454"/>
      <c r="AB193" s="454"/>
      <c r="AC193" s="454"/>
      <c r="AD193" s="454"/>
      <c r="AE193" s="454"/>
      <c r="AF193" s="454"/>
      <c r="AG193" s="454"/>
      <c r="AH193" s="454"/>
      <c r="AI193" s="454"/>
      <c r="AJ193" s="769"/>
    </row>
    <row r="194" spans="1:36" ht="14">
      <c r="A194" s="40"/>
      <c r="B194" s="40"/>
      <c r="C194" s="124"/>
      <c r="D194" s="124"/>
      <c r="E194" s="124"/>
      <c r="F194" s="455" t="s">
        <v>38</v>
      </c>
      <c r="G194" s="455"/>
      <c r="H194" s="456"/>
      <c r="I194" s="455"/>
      <c r="J194" s="333">
        <f>SUM(J190:J193)</f>
        <v>3000000</v>
      </c>
      <c r="K194" s="457"/>
      <c r="L194" s="458">
        <f>SUM(L190:L193)</f>
        <v>3000000</v>
      </c>
      <c r="M194" s="458">
        <f>SUM(M190:M193)</f>
        <v>282507</v>
      </c>
      <c r="N194" s="458">
        <f t="shared" ref="N194:T194" si="174">SUM(N190:N193)</f>
        <v>0</v>
      </c>
      <c r="O194" s="458">
        <f t="shared" si="174"/>
        <v>0</v>
      </c>
      <c r="P194" s="458">
        <f t="shared" si="174"/>
        <v>0</v>
      </c>
      <c r="Q194" s="458">
        <f t="shared" si="174"/>
        <v>0</v>
      </c>
      <c r="R194" s="458">
        <f t="shared" si="174"/>
        <v>0</v>
      </c>
      <c r="S194" s="458">
        <f t="shared" si="174"/>
        <v>282507</v>
      </c>
      <c r="T194" s="458">
        <f t="shared" si="174"/>
        <v>3282507</v>
      </c>
      <c r="U194" s="458"/>
      <c r="V194" s="458"/>
      <c r="W194" s="458"/>
      <c r="X194" s="458"/>
      <c r="Y194" s="458"/>
      <c r="Z194" s="458">
        <f t="shared" ref="Z194:AA194" si="175">SUM(Z190:Z193)</f>
        <v>0</v>
      </c>
      <c r="AA194" s="458">
        <f t="shared" si="175"/>
        <v>3282507</v>
      </c>
      <c r="AB194" s="458"/>
      <c r="AC194" s="458"/>
      <c r="AD194" s="458"/>
      <c r="AE194" s="458">
        <f t="shared" ref="AE194:AI194" si="176">SUM(AE190:AE193)</f>
        <v>-266912</v>
      </c>
      <c r="AF194" s="458"/>
      <c r="AG194" s="458">
        <f t="shared" si="176"/>
        <v>-266912</v>
      </c>
      <c r="AH194" s="458">
        <f t="shared" si="176"/>
        <v>3015595</v>
      </c>
      <c r="AI194" s="458">
        <f t="shared" si="176"/>
        <v>1221590</v>
      </c>
      <c r="AJ194" s="770">
        <f>AI194/AH194*100</f>
        <v>40.509086929776714</v>
      </c>
    </row>
    <row r="195" spans="1:36" ht="14">
      <c r="A195" s="40"/>
      <c r="B195" s="40"/>
      <c r="C195" s="124"/>
      <c r="D195" s="124"/>
      <c r="E195" s="124"/>
      <c r="F195" s="451"/>
      <c r="G195" s="41"/>
      <c r="H195" s="66"/>
      <c r="I195" s="41"/>
      <c r="J195" s="126"/>
      <c r="K195" s="204"/>
      <c r="L195" s="205"/>
      <c r="M195" s="205"/>
      <c r="N195" s="205"/>
      <c r="O195" s="205"/>
      <c r="P195" s="205"/>
      <c r="Q195" s="205"/>
      <c r="R195" s="205"/>
      <c r="S195" s="205"/>
      <c r="T195" s="205"/>
      <c r="U195" s="205"/>
      <c r="V195" s="205"/>
      <c r="W195" s="205"/>
      <c r="X195" s="205"/>
      <c r="Y195" s="205"/>
      <c r="Z195" s="205"/>
      <c r="AA195" s="205"/>
      <c r="AB195" s="205"/>
      <c r="AC195" s="205"/>
      <c r="AD195" s="205"/>
      <c r="AE195" s="205"/>
      <c r="AF195" s="205"/>
      <c r="AG195" s="205"/>
      <c r="AH195" s="205"/>
      <c r="AI195" s="205"/>
      <c r="AJ195" s="747"/>
    </row>
    <row r="196" spans="1:36" ht="14">
      <c r="A196" s="40"/>
      <c r="B196" s="40">
        <v>3</v>
      </c>
      <c r="C196" s="124"/>
      <c r="D196" s="124"/>
      <c r="F196" s="451"/>
      <c r="G196" s="459" t="s">
        <v>542</v>
      </c>
      <c r="H196" s="66"/>
      <c r="I196" s="66"/>
      <c r="J196" s="452"/>
      <c r="K196" s="453"/>
      <c r="L196" s="454"/>
      <c r="M196" s="454"/>
      <c r="N196" s="454"/>
      <c r="O196" s="454"/>
      <c r="P196" s="454"/>
      <c r="Q196" s="454"/>
      <c r="R196" s="454"/>
      <c r="S196" s="454"/>
      <c r="T196" s="454"/>
      <c r="U196" s="454"/>
      <c r="V196" s="454"/>
      <c r="W196" s="454"/>
      <c r="X196" s="454"/>
      <c r="Y196" s="454"/>
      <c r="Z196" s="454"/>
      <c r="AA196" s="454"/>
      <c r="AB196" s="454"/>
      <c r="AC196" s="454"/>
      <c r="AD196" s="454"/>
      <c r="AE196" s="454"/>
      <c r="AF196" s="454"/>
      <c r="AG196" s="454"/>
      <c r="AH196" s="454"/>
      <c r="AI196" s="454"/>
      <c r="AJ196" s="769"/>
    </row>
    <row r="197" spans="1:36" ht="14">
      <c r="A197" s="40"/>
      <c r="B197" s="40"/>
      <c r="C197" s="124">
        <v>1</v>
      </c>
      <c r="D197" s="124"/>
      <c r="E197" s="124"/>
      <c r="F197" s="451"/>
      <c r="G197" s="41"/>
      <c r="H197" s="66" t="s">
        <v>35</v>
      </c>
      <c r="I197" s="66"/>
      <c r="J197" s="452"/>
      <c r="K197" s="453"/>
      <c r="L197" s="454"/>
      <c r="M197" s="454"/>
      <c r="N197" s="454"/>
      <c r="O197" s="454"/>
      <c r="P197" s="454"/>
      <c r="Q197" s="454"/>
      <c r="R197" s="454"/>
      <c r="S197" s="454"/>
      <c r="T197" s="454"/>
      <c r="U197" s="454"/>
      <c r="V197" s="454"/>
      <c r="W197" s="454"/>
      <c r="X197" s="454"/>
      <c r="Y197" s="454"/>
      <c r="Z197" s="454"/>
      <c r="AA197" s="454"/>
      <c r="AB197" s="454"/>
      <c r="AC197" s="454"/>
      <c r="AD197" s="454"/>
      <c r="AE197" s="454"/>
      <c r="AF197" s="454"/>
      <c r="AG197" s="454"/>
      <c r="AH197" s="454"/>
      <c r="AI197" s="454"/>
      <c r="AJ197" s="769"/>
    </row>
    <row r="198" spans="1:36" ht="14">
      <c r="A198" s="40"/>
      <c r="B198" s="40"/>
      <c r="C198" s="124"/>
      <c r="D198" s="124">
        <v>1</v>
      </c>
      <c r="E198" s="124" t="s">
        <v>198</v>
      </c>
      <c r="F198" s="451"/>
      <c r="G198" s="41"/>
      <c r="H198" s="66"/>
      <c r="I198" s="162" t="s">
        <v>180</v>
      </c>
      <c r="J198" s="452">
        <v>700000</v>
      </c>
      <c r="K198" s="453"/>
      <c r="L198" s="217"/>
      <c r="M198" s="217">
        <v>1200000</v>
      </c>
      <c r="N198" s="217"/>
      <c r="O198" s="217"/>
      <c r="P198" s="217"/>
      <c r="Q198" s="217"/>
      <c r="R198" s="217"/>
      <c r="S198" s="217">
        <f t="shared" ref="S198:S199" si="177">SUM(M198:R198)</f>
        <v>1200000</v>
      </c>
      <c r="T198" s="217">
        <f t="shared" ref="T198:T199" si="178">S198+L198</f>
        <v>1200000</v>
      </c>
      <c r="U198" s="217"/>
      <c r="V198" s="217"/>
      <c r="W198" s="217"/>
      <c r="X198" s="217"/>
      <c r="Y198" s="217"/>
      <c r="Z198" s="217">
        <f>SUM(U198:Y198)</f>
        <v>0</v>
      </c>
      <c r="AA198" s="217">
        <f>Z198+T198</f>
        <v>1200000</v>
      </c>
      <c r="AB198" s="217"/>
      <c r="AC198" s="217"/>
      <c r="AD198" s="217"/>
      <c r="AE198" s="217"/>
      <c r="AF198" s="217"/>
      <c r="AG198" s="217">
        <f t="shared" ref="AG198:AG199" si="179">SUM(AB198:AF198)</f>
        <v>0</v>
      </c>
      <c r="AH198" s="217">
        <f t="shared" ref="AH198:AH199" si="180">AG198+AA198</f>
        <v>1200000</v>
      </c>
      <c r="AI198" s="217">
        <v>1200000</v>
      </c>
      <c r="AJ198" s="764">
        <f t="shared" ref="AJ198:AJ199" si="181">AI198/AH198*100</f>
        <v>100</v>
      </c>
    </row>
    <row r="199" spans="1:36" ht="14">
      <c r="A199" s="40"/>
      <c r="B199" s="40"/>
      <c r="C199" s="124"/>
      <c r="D199" s="124">
        <v>2</v>
      </c>
      <c r="E199" s="124" t="s">
        <v>198</v>
      </c>
      <c r="F199" s="451"/>
      <c r="G199" s="41"/>
      <c r="H199" s="66"/>
      <c r="I199" s="162" t="s">
        <v>182</v>
      </c>
      <c r="J199" s="452">
        <v>157353</v>
      </c>
      <c r="K199" s="453"/>
      <c r="L199" s="217"/>
      <c r="M199" s="217">
        <v>234000</v>
      </c>
      <c r="N199" s="217"/>
      <c r="O199" s="217"/>
      <c r="P199" s="217"/>
      <c r="Q199" s="217"/>
      <c r="R199" s="217"/>
      <c r="S199" s="217">
        <f t="shared" si="177"/>
        <v>234000</v>
      </c>
      <c r="T199" s="217">
        <f t="shared" si="178"/>
        <v>234000</v>
      </c>
      <c r="U199" s="217"/>
      <c r="V199" s="217"/>
      <c r="W199" s="217"/>
      <c r="X199" s="217"/>
      <c r="Y199" s="217"/>
      <c r="Z199" s="217">
        <f>SUM(U199:Y199)</f>
        <v>0</v>
      </c>
      <c r="AA199" s="217">
        <f>Z199+T199</f>
        <v>234000</v>
      </c>
      <c r="AB199" s="217"/>
      <c r="AC199" s="217"/>
      <c r="AD199" s="217"/>
      <c r="AE199" s="217"/>
      <c r="AF199" s="217"/>
      <c r="AG199" s="217">
        <f t="shared" si="179"/>
        <v>0</v>
      </c>
      <c r="AH199" s="217">
        <f t="shared" si="180"/>
        <v>234000</v>
      </c>
      <c r="AI199" s="217">
        <v>234000</v>
      </c>
      <c r="AJ199" s="764">
        <f t="shared" si="181"/>
        <v>100</v>
      </c>
    </row>
    <row r="200" spans="1:36" ht="14">
      <c r="A200" s="40"/>
      <c r="B200" s="40"/>
      <c r="C200" s="124"/>
      <c r="D200" s="124"/>
      <c r="E200" s="124"/>
      <c r="F200" s="451"/>
      <c r="G200" s="41"/>
      <c r="H200" s="66"/>
      <c r="I200" s="66"/>
      <c r="J200" s="452"/>
      <c r="K200" s="453"/>
      <c r="L200" s="454"/>
      <c r="M200" s="454"/>
      <c r="N200" s="454"/>
      <c r="O200" s="454"/>
      <c r="P200" s="454"/>
      <c r="Q200" s="454"/>
      <c r="R200" s="454"/>
      <c r="S200" s="454"/>
      <c r="T200" s="454"/>
      <c r="U200" s="454"/>
      <c r="V200" s="454"/>
      <c r="W200" s="454"/>
      <c r="X200" s="454"/>
      <c r="Y200" s="454"/>
      <c r="Z200" s="454"/>
      <c r="AA200" s="454"/>
      <c r="AB200" s="454"/>
      <c r="AC200" s="454"/>
      <c r="AD200" s="454"/>
      <c r="AE200" s="454"/>
      <c r="AF200" s="454"/>
      <c r="AG200" s="454"/>
      <c r="AH200" s="454"/>
      <c r="AI200" s="454"/>
      <c r="AJ200" s="769"/>
    </row>
    <row r="201" spans="1:36" ht="14">
      <c r="A201" s="40"/>
      <c r="B201" s="40"/>
      <c r="C201" s="124"/>
      <c r="D201" s="124"/>
      <c r="E201" s="124"/>
      <c r="F201" s="455" t="s">
        <v>38</v>
      </c>
      <c r="G201" s="455"/>
      <c r="H201" s="456"/>
      <c r="I201" s="455"/>
      <c r="J201" s="333">
        <f>SUM(J198:J200)</f>
        <v>857353</v>
      </c>
      <c r="K201" s="457"/>
      <c r="L201" s="458"/>
      <c r="M201" s="458">
        <f>SUM(M198:M200)</f>
        <v>1434000</v>
      </c>
      <c r="N201" s="458">
        <f t="shared" ref="N201:T201" si="182">SUM(N198:N200)</f>
        <v>0</v>
      </c>
      <c r="O201" s="458">
        <f t="shared" si="182"/>
        <v>0</v>
      </c>
      <c r="P201" s="458">
        <f t="shared" si="182"/>
        <v>0</v>
      </c>
      <c r="Q201" s="458">
        <f t="shared" si="182"/>
        <v>0</v>
      </c>
      <c r="R201" s="458">
        <f t="shared" si="182"/>
        <v>0</v>
      </c>
      <c r="S201" s="458">
        <f t="shared" si="182"/>
        <v>1434000</v>
      </c>
      <c r="T201" s="458">
        <f t="shared" si="182"/>
        <v>1434000</v>
      </c>
      <c r="U201" s="458"/>
      <c r="V201" s="458"/>
      <c r="W201" s="458"/>
      <c r="X201" s="458"/>
      <c r="Y201" s="458"/>
      <c r="Z201" s="458">
        <f t="shared" ref="Z201:AA201" si="183">SUM(Z198:Z200)</f>
        <v>0</v>
      </c>
      <c r="AA201" s="458">
        <f t="shared" si="183"/>
        <v>1434000</v>
      </c>
      <c r="AB201" s="458"/>
      <c r="AC201" s="458"/>
      <c r="AD201" s="458"/>
      <c r="AE201" s="458"/>
      <c r="AF201" s="458"/>
      <c r="AG201" s="458">
        <f t="shared" ref="AG201:AH201" si="184">SUM(AG198:AG200)</f>
        <v>0</v>
      </c>
      <c r="AH201" s="458">
        <f t="shared" si="184"/>
        <v>1434000</v>
      </c>
      <c r="AI201" s="458">
        <f t="shared" ref="AI201" si="185">SUM(AI198:AI200)</f>
        <v>1434000</v>
      </c>
      <c r="AJ201" s="770">
        <f>AI201/AH201*100</f>
        <v>100</v>
      </c>
    </row>
    <row r="202" spans="1:36" ht="14">
      <c r="A202" s="40"/>
      <c r="B202" s="40"/>
      <c r="C202" s="124"/>
      <c r="D202" s="124"/>
      <c r="E202" s="124"/>
      <c r="F202" s="451"/>
      <c r="G202" s="41"/>
      <c r="H202" s="66"/>
      <c r="I202" s="41"/>
      <c r="J202" s="126"/>
      <c r="K202" s="204"/>
      <c r="L202" s="205"/>
      <c r="M202" s="205"/>
      <c r="N202" s="205"/>
      <c r="O202" s="205"/>
      <c r="P202" s="205"/>
      <c r="Q202" s="205"/>
      <c r="R202" s="205"/>
      <c r="S202" s="205"/>
      <c r="T202" s="205"/>
      <c r="U202" s="205"/>
      <c r="V202" s="205"/>
      <c r="W202" s="205"/>
      <c r="X202" s="205"/>
      <c r="Y202" s="205"/>
      <c r="Z202" s="205"/>
      <c r="AA202" s="205"/>
      <c r="AB202" s="205"/>
      <c r="AC202" s="205"/>
      <c r="AD202" s="205"/>
      <c r="AE202" s="205"/>
      <c r="AF202" s="205"/>
      <c r="AG202" s="205"/>
      <c r="AH202" s="205"/>
      <c r="AI202" s="205"/>
      <c r="AJ202" s="747"/>
    </row>
    <row r="203" spans="1:36" ht="14">
      <c r="A203" s="103"/>
      <c r="B203" s="103"/>
      <c r="C203" s="104"/>
      <c r="D203" s="104"/>
      <c r="E203" s="104"/>
      <c r="F203" s="20" t="s">
        <v>37</v>
      </c>
      <c r="G203" s="4"/>
      <c r="H203" s="4"/>
      <c r="I203" s="5"/>
      <c r="J203" s="415">
        <f>SUM(J183:J194)/2</f>
        <v>36000000</v>
      </c>
      <c r="K203" s="416"/>
      <c r="L203" s="415">
        <f>SUM(L183:L194)/2</f>
        <v>36000000</v>
      </c>
      <c r="M203" s="415">
        <f>SUM(M183:M201)/2</f>
        <v>22649509</v>
      </c>
      <c r="N203" s="415">
        <f t="shared" ref="N203:T203" si="186">SUM(N183:N201)/2</f>
        <v>0</v>
      </c>
      <c r="O203" s="415">
        <f t="shared" si="186"/>
        <v>5000000</v>
      </c>
      <c r="P203" s="415">
        <f t="shared" si="186"/>
        <v>0</v>
      </c>
      <c r="Q203" s="415">
        <f t="shared" si="186"/>
        <v>0</v>
      </c>
      <c r="R203" s="415">
        <f t="shared" si="186"/>
        <v>0</v>
      </c>
      <c r="S203" s="415">
        <f t="shared" si="186"/>
        <v>27649509</v>
      </c>
      <c r="T203" s="415">
        <f t="shared" si="186"/>
        <v>63649509</v>
      </c>
      <c r="U203" s="415"/>
      <c r="V203" s="415"/>
      <c r="W203" s="415"/>
      <c r="X203" s="415"/>
      <c r="Y203" s="415"/>
      <c r="Z203" s="415">
        <f t="shared" ref="Z203:AA203" si="187">SUM(Z183:Z201)/2</f>
        <v>0</v>
      </c>
      <c r="AA203" s="415">
        <f t="shared" si="187"/>
        <v>63649509</v>
      </c>
      <c r="AB203" s="415"/>
      <c r="AC203" s="415"/>
      <c r="AD203" s="415"/>
      <c r="AE203" s="415">
        <f t="shared" ref="AE203:AH203" si="188">SUM(AE183:AE201)/2</f>
        <v>-6187726</v>
      </c>
      <c r="AF203" s="415"/>
      <c r="AG203" s="415">
        <f t="shared" si="188"/>
        <v>-6187726</v>
      </c>
      <c r="AH203" s="415">
        <f t="shared" si="188"/>
        <v>57461783</v>
      </c>
      <c r="AI203" s="415">
        <f t="shared" ref="AI203" si="189">SUM(AI183:AI201)/2</f>
        <v>34481244</v>
      </c>
      <c r="AJ203" s="765">
        <f>AI203/AH203*100</f>
        <v>60.00726430643477</v>
      </c>
    </row>
    <row r="204" spans="1:36" ht="14">
      <c r="A204" s="40"/>
      <c r="B204" s="40"/>
      <c r="C204" s="124"/>
      <c r="D204" s="124"/>
      <c r="E204" s="124"/>
      <c r="F204" s="451"/>
      <c r="G204" s="41"/>
      <c r="H204" s="66"/>
      <c r="I204" s="66"/>
      <c r="J204" s="452"/>
      <c r="K204" s="453"/>
      <c r="L204" s="454"/>
      <c r="M204" s="454"/>
      <c r="N204" s="454"/>
      <c r="O204" s="454"/>
      <c r="P204" s="454"/>
      <c r="Q204" s="454"/>
      <c r="R204" s="454"/>
      <c r="S204" s="454"/>
      <c r="T204" s="454"/>
      <c r="U204" s="454"/>
      <c r="V204" s="454"/>
      <c r="W204" s="454"/>
      <c r="X204" s="454"/>
      <c r="Y204" s="454"/>
      <c r="Z204" s="454"/>
      <c r="AA204" s="454"/>
      <c r="AB204" s="454"/>
      <c r="AC204" s="454"/>
      <c r="AD204" s="454"/>
      <c r="AE204" s="454"/>
      <c r="AF204" s="454"/>
      <c r="AG204" s="454"/>
      <c r="AH204" s="454"/>
      <c r="AI204" s="454"/>
      <c r="AJ204" s="769"/>
    </row>
    <row r="205" spans="1:36" ht="14">
      <c r="A205" s="40">
        <v>2</v>
      </c>
      <c r="B205" s="40"/>
      <c r="C205" s="124"/>
      <c r="D205" s="124"/>
      <c r="E205" s="124"/>
      <c r="F205" s="451" t="s">
        <v>41</v>
      </c>
      <c r="G205" s="41"/>
      <c r="H205" s="66"/>
      <c r="I205" s="66"/>
      <c r="J205" s="452"/>
      <c r="K205" s="453"/>
      <c r="L205" s="454"/>
      <c r="M205" s="454"/>
      <c r="N205" s="454"/>
      <c r="O205" s="454"/>
      <c r="P205" s="454"/>
      <c r="Q205" s="454"/>
      <c r="R205" s="454"/>
      <c r="S205" s="454"/>
      <c r="T205" s="454"/>
      <c r="U205" s="454"/>
      <c r="V205" s="454"/>
      <c r="W205" s="454"/>
      <c r="X205" s="454"/>
      <c r="Y205" s="454"/>
      <c r="Z205" s="454"/>
      <c r="AA205" s="454"/>
      <c r="AB205" s="454"/>
      <c r="AC205" s="454"/>
      <c r="AD205" s="454"/>
      <c r="AE205" s="454"/>
      <c r="AF205" s="454"/>
      <c r="AG205" s="454"/>
      <c r="AH205" s="454"/>
      <c r="AI205" s="454"/>
      <c r="AJ205" s="769"/>
    </row>
    <row r="206" spans="1:36" ht="14">
      <c r="A206" s="40"/>
      <c r="B206" s="40">
        <v>1</v>
      </c>
      <c r="C206" s="124"/>
      <c r="D206" s="124"/>
      <c r="F206" s="451"/>
      <c r="G206" s="459" t="s">
        <v>333</v>
      </c>
      <c r="H206" s="66"/>
      <c r="I206" s="66"/>
      <c r="J206" s="452"/>
      <c r="K206" s="453"/>
      <c r="L206" s="454"/>
      <c r="M206" s="454"/>
      <c r="N206" s="454"/>
      <c r="O206" s="454"/>
      <c r="P206" s="454"/>
      <c r="Q206" s="454"/>
      <c r="R206" s="454"/>
      <c r="S206" s="454"/>
      <c r="T206" s="454"/>
      <c r="U206" s="454"/>
      <c r="V206" s="454"/>
      <c r="W206" s="454"/>
      <c r="X206" s="454"/>
      <c r="Y206" s="454"/>
      <c r="Z206" s="454"/>
      <c r="AA206" s="454"/>
      <c r="AB206" s="454"/>
      <c r="AC206" s="454"/>
      <c r="AD206" s="454"/>
      <c r="AE206" s="454"/>
      <c r="AF206" s="454"/>
      <c r="AG206" s="454"/>
      <c r="AH206" s="454"/>
      <c r="AI206" s="454"/>
      <c r="AJ206" s="769"/>
    </row>
    <row r="207" spans="1:36" ht="14">
      <c r="A207" s="40"/>
      <c r="B207" s="40"/>
      <c r="C207" s="124">
        <v>1</v>
      </c>
      <c r="D207" s="124"/>
      <c r="E207" s="124"/>
      <c r="F207" s="451"/>
      <c r="G207" s="41"/>
      <c r="H207" s="66" t="s">
        <v>35</v>
      </c>
      <c r="I207" s="66"/>
      <c r="J207" s="452"/>
      <c r="K207" s="453"/>
      <c r="L207" s="454"/>
      <c r="M207" s="454"/>
      <c r="N207" s="454"/>
      <c r="O207" s="454"/>
      <c r="P207" s="454"/>
      <c r="Q207" s="454"/>
      <c r="R207" s="454"/>
      <c r="S207" s="454"/>
      <c r="T207" s="454"/>
      <c r="U207" s="454"/>
      <c r="V207" s="454"/>
      <c r="W207" s="454"/>
      <c r="X207" s="454"/>
      <c r="Y207" s="454"/>
      <c r="Z207" s="454"/>
      <c r="AA207" s="454"/>
      <c r="AB207" s="454"/>
      <c r="AC207" s="454"/>
      <c r="AD207" s="454"/>
      <c r="AE207" s="454"/>
      <c r="AF207" s="454"/>
      <c r="AG207" s="454"/>
      <c r="AH207" s="454"/>
      <c r="AI207" s="454"/>
      <c r="AJ207" s="769"/>
    </row>
    <row r="208" spans="1:36" ht="14">
      <c r="A208" s="40"/>
      <c r="B208" s="40"/>
      <c r="C208" s="124"/>
      <c r="D208" s="124">
        <v>3</v>
      </c>
      <c r="E208" s="124" t="s">
        <v>199</v>
      </c>
      <c r="F208" s="451"/>
      <c r="G208" s="41"/>
      <c r="H208" s="66"/>
      <c r="I208" s="66" t="s">
        <v>116</v>
      </c>
      <c r="J208" s="452">
        <v>12000000</v>
      </c>
      <c r="K208" s="453"/>
      <c r="L208" s="217">
        <f>SUM(J208:K208)</f>
        <v>12000000</v>
      </c>
      <c r="M208" s="217">
        <v>6003164</v>
      </c>
      <c r="N208" s="217"/>
      <c r="O208" s="217"/>
      <c r="P208" s="217"/>
      <c r="Q208" s="217">
        <v>500000</v>
      </c>
      <c r="R208" s="217"/>
      <c r="S208" s="217">
        <f>SUM(M208:R208)</f>
        <v>6503164</v>
      </c>
      <c r="T208" s="217">
        <f>S208+L208</f>
        <v>18503164</v>
      </c>
      <c r="U208" s="217"/>
      <c r="V208" s="217"/>
      <c r="W208" s="217"/>
      <c r="X208" s="217"/>
      <c r="Y208" s="217"/>
      <c r="Z208" s="217">
        <f>SUM(U208:Y208)</f>
        <v>0</v>
      </c>
      <c r="AA208" s="217">
        <f>Z208+T208</f>
        <v>18503164</v>
      </c>
      <c r="AB208" s="217"/>
      <c r="AC208" s="217"/>
      <c r="AD208" s="217"/>
      <c r="AE208" s="217"/>
      <c r="AF208" s="217"/>
      <c r="AG208" s="217">
        <f t="shared" ref="AG208" si="190">SUM(AB208:AF208)</f>
        <v>0</v>
      </c>
      <c r="AH208" s="217">
        <f t="shared" ref="AH208" si="191">AG208+AA208</f>
        <v>18503164</v>
      </c>
      <c r="AI208" s="217">
        <v>12305782</v>
      </c>
      <c r="AJ208" s="764">
        <f>AI208/AH208*100</f>
        <v>66.506366154458775</v>
      </c>
    </row>
    <row r="209" spans="1:36" ht="14">
      <c r="A209" s="40"/>
      <c r="B209" s="40"/>
      <c r="C209" s="124"/>
      <c r="D209" s="124"/>
      <c r="E209" s="124"/>
      <c r="F209" s="451"/>
      <c r="G209" s="41"/>
      <c r="H209" s="66"/>
      <c r="I209" s="66"/>
      <c r="J209" s="452"/>
      <c r="K209" s="453"/>
      <c r="L209" s="454"/>
      <c r="M209" s="454"/>
      <c r="N209" s="454"/>
      <c r="O209" s="454"/>
      <c r="P209" s="454"/>
      <c r="Q209" s="454"/>
      <c r="R209" s="454"/>
      <c r="S209" s="454"/>
      <c r="T209" s="454"/>
      <c r="U209" s="454"/>
      <c r="V209" s="454"/>
      <c r="W209" s="454"/>
      <c r="X209" s="454"/>
      <c r="Y209" s="454"/>
      <c r="Z209" s="454"/>
      <c r="AA209" s="454"/>
      <c r="AB209" s="454"/>
      <c r="AC209" s="454"/>
      <c r="AD209" s="454"/>
      <c r="AE209" s="454"/>
      <c r="AF209" s="454"/>
      <c r="AG209" s="454"/>
      <c r="AH209" s="454"/>
      <c r="AI209" s="454"/>
      <c r="AJ209" s="769"/>
    </row>
    <row r="210" spans="1:36" ht="14">
      <c r="A210" s="40"/>
      <c r="B210" s="40"/>
      <c r="C210" s="124"/>
      <c r="D210" s="124"/>
      <c r="E210" s="124"/>
      <c r="F210" s="455" t="s">
        <v>38</v>
      </c>
      <c r="G210" s="455"/>
      <c r="H210" s="456"/>
      <c r="I210" s="455"/>
      <c r="J210" s="333">
        <f>SUM(J206:J209)</f>
        <v>12000000</v>
      </c>
      <c r="K210" s="457"/>
      <c r="L210" s="458">
        <f>SUM(L206:L209)</f>
        <v>12000000</v>
      </c>
      <c r="M210" s="458">
        <f>SUM(M206:M209)</f>
        <v>6003164</v>
      </c>
      <c r="N210" s="458">
        <f t="shared" ref="N210:T210" si="192">SUM(N206:N209)</f>
        <v>0</v>
      </c>
      <c r="O210" s="458">
        <f t="shared" si="192"/>
        <v>0</v>
      </c>
      <c r="P210" s="458">
        <f t="shared" si="192"/>
        <v>0</v>
      </c>
      <c r="Q210" s="458">
        <f t="shared" si="192"/>
        <v>500000</v>
      </c>
      <c r="R210" s="458">
        <f t="shared" si="192"/>
        <v>0</v>
      </c>
      <c r="S210" s="458">
        <f t="shared" si="192"/>
        <v>6503164</v>
      </c>
      <c r="T210" s="458">
        <f t="shared" si="192"/>
        <v>18503164</v>
      </c>
      <c r="U210" s="458"/>
      <c r="V210" s="458"/>
      <c r="W210" s="458"/>
      <c r="X210" s="458"/>
      <c r="Y210" s="458"/>
      <c r="Z210" s="458">
        <f t="shared" ref="Z210:AA210" si="193">SUM(Z206:Z209)</f>
        <v>0</v>
      </c>
      <c r="AA210" s="458">
        <f t="shared" si="193"/>
        <v>18503164</v>
      </c>
      <c r="AB210" s="458"/>
      <c r="AC210" s="458"/>
      <c r="AD210" s="458"/>
      <c r="AE210" s="458"/>
      <c r="AF210" s="458"/>
      <c r="AG210" s="458">
        <f t="shared" ref="AG210:AH210" si="194">SUM(AG206:AG209)</f>
        <v>0</v>
      </c>
      <c r="AH210" s="458">
        <f t="shared" si="194"/>
        <v>18503164</v>
      </c>
      <c r="AI210" s="458">
        <f t="shared" ref="AI210" si="195">SUM(AI206:AI209)</f>
        <v>12305782</v>
      </c>
      <c r="AJ210" s="770">
        <f>AI210/AH210*100</f>
        <v>66.506366154458775</v>
      </c>
    </row>
    <row r="211" spans="1:36" ht="14">
      <c r="A211" s="40"/>
      <c r="B211" s="40"/>
      <c r="C211" s="124"/>
      <c r="D211" s="124"/>
      <c r="E211" s="124"/>
      <c r="F211" s="417"/>
      <c r="G211" s="417"/>
      <c r="H211" s="418"/>
      <c r="I211" s="417"/>
      <c r="J211" s="126"/>
      <c r="K211" s="204"/>
      <c r="L211" s="205"/>
      <c r="M211" s="205"/>
      <c r="N211" s="205"/>
      <c r="O211" s="205"/>
      <c r="P211" s="205"/>
      <c r="Q211" s="205"/>
      <c r="R211" s="205"/>
      <c r="S211" s="205"/>
      <c r="T211" s="205"/>
      <c r="U211" s="205"/>
      <c r="V211" s="205"/>
      <c r="W211" s="205"/>
      <c r="X211" s="205"/>
      <c r="Y211" s="205"/>
      <c r="Z211" s="205"/>
      <c r="AA211" s="205"/>
      <c r="AB211" s="205"/>
      <c r="AC211" s="205"/>
      <c r="AD211" s="205"/>
      <c r="AE211" s="205"/>
      <c r="AF211" s="205"/>
      <c r="AG211" s="205"/>
      <c r="AH211" s="205"/>
      <c r="AI211" s="205"/>
      <c r="AJ211" s="747"/>
    </row>
    <row r="212" spans="1:36" ht="14">
      <c r="A212" s="40"/>
      <c r="B212" s="40"/>
      <c r="C212" s="124"/>
      <c r="D212" s="124"/>
      <c r="E212" s="124"/>
      <c r="F212" s="413" t="s">
        <v>37</v>
      </c>
      <c r="G212" s="413"/>
      <c r="H212" s="414"/>
      <c r="I212" s="413"/>
      <c r="J212" s="460">
        <f>SUM(J205:J211)/2</f>
        <v>12000000</v>
      </c>
      <c r="K212" s="461"/>
      <c r="L212" s="460">
        <f>SUM(L205:L211)/2</f>
        <v>12000000</v>
      </c>
      <c r="M212" s="460">
        <f>SUM(M205:M211)/2</f>
        <v>6003164</v>
      </c>
      <c r="N212" s="460">
        <f t="shared" ref="N212:T212" si="196">SUM(N205:N211)/2</f>
        <v>0</v>
      </c>
      <c r="O212" s="460">
        <f t="shared" si="196"/>
        <v>0</v>
      </c>
      <c r="P212" s="460">
        <f t="shared" si="196"/>
        <v>0</v>
      </c>
      <c r="Q212" s="460">
        <f t="shared" si="196"/>
        <v>500000</v>
      </c>
      <c r="R212" s="460">
        <f t="shared" si="196"/>
        <v>0</v>
      </c>
      <c r="S212" s="460">
        <f t="shared" si="196"/>
        <v>6503164</v>
      </c>
      <c r="T212" s="460">
        <f t="shared" si="196"/>
        <v>18503164</v>
      </c>
      <c r="U212" s="460"/>
      <c r="V212" s="460"/>
      <c r="W212" s="460"/>
      <c r="X212" s="460"/>
      <c r="Y212" s="460"/>
      <c r="Z212" s="460">
        <f t="shared" ref="Z212:AA212" si="197">SUM(Z205:Z211)/2</f>
        <v>0</v>
      </c>
      <c r="AA212" s="460">
        <f t="shared" si="197"/>
        <v>18503164</v>
      </c>
      <c r="AB212" s="460"/>
      <c r="AC212" s="460"/>
      <c r="AD212" s="460"/>
      <c r="AE212" s="460"/>
      <c r="AF212" s="460"/>
      <c r="AG212" s="460">
        <f t="shared" ref="AG212:AH212" si="198">SUM(AG205:AG211)/2</f>
        <v>0</v>
      </c>
      <c r="AH212" s="460">
        <f t="shared" si="198"/>
        <v>18503164</v>
      </c>
      <c r="AI212" s="460">
        <f t="shared" ref="AI212" si="199">SUM(AI205:AI211)/2</f>
        <v>12305782</v>
      </c>
      <c r="AJ212" s="771"/>
    </row>
    <row r="213" spans="1:36" ht="14">
      <c r="A213" s="40"/>
      <c r="B213" s="40"/>
      <c r="C213" s="124"/>
      <c r="D213" s="124"/>
      <c r="E213" s="124"/>
      <c r="F213" s="451"/>
      <c r="G213" s="41"/>
      <c r="H213" s="66"/>
      <c r="I213" s="41"/>
      <c r="J213" s="126"/>
      <c r="K213" s="204"/>
      <c r="L213" s="205"/>
      <c r="M213" s="205"/>
      <c r="N213" s="205"/>
      <c r="O213" s="205"/>
      <c r="P213" s="205"/>
      <c r="Q213" s="205"/>
      <c r="R213" s="205"/>
      <c r="S213" s="205"/>
      <c r="T213" s="205"/>
      <c r="U213" s="205"/>
      <c r="V213" s="205"/>
      <c r="W213" s="205"/>
      <c r="X213" s="205"/>
      <c r="Y213" s="205"/>
      <c r="Z213" s="205"/>
      <c r="AA213" s="205"/>
      <c r="AB213" s="205"/>
      <c r="AC213" s="205"/>
      <c r="AD213" s="205"/>
      <c r="AE213" s="205"/>
      <c r="AF213" s="205"/>
      <c r="AG213" s="205"/>
      <c r="AH213" s="205"/>
      <c r="AI213" s="205"/>
      <c r="AJ213" s="747"/>
    </row>
    <row r="214" spans="1:36" ht="14">
      <c r="A214" s="40">
        <v>3</v>
      </c>
      <c r="B214" s="40"/>
      <c r="C214" s="124"/>
      <c r="D214" s="124"/>
      <c r="E214" s="124"/>
      <c r="F214" s="451" t="s">
        <v>42</v>
      </c>
      <c r="G214" s="41"/>
      <c r="H214" s="66"/>
      <c r="I214" s="66"/>
      <c r="J214" s="452"/>
      <c r="K214" s="453"/>
      <c r="L214" s="454"/>
      <c r="M214" s="454"/>
      <c r="N214" s="454"/>
      <c r="O214" s="454"/>
      <c r="P214" s="454"/>
      <c r="Q214" s="454"/>
      <c r="R214" s="454"/>
      <c r="S214" s="454"/>
      <c r="T214" s="454"/>
      <c r="U214" s="454"/>
      <c r="V214" s="454"/>
      <c r="W214" s="454"/>
      <c r="X214" s="454"/>
      <c r="Y214" s="454"/>
      <c r="Z214" s="454"/>
      <c r="AA214" s="454"/>
      <c r="AB214" s="454"/>
      <c r="AC214" s="454"/>
      <c r="AD214" s="454"/>
      <c r="AE214" s="454"/>
      <c r="AF214" s="454"/>
      <c r="AG214" s="454"/>
      <c r="AH214" s="454"/>
      <c r="AI214" s="454"/>
      <c r="AJ214" s="769"/>
    </row>
    <row r="215" spans="1:36" ht="14">
      <c r="A215" s="40"/>
      <c r="B215" s="40">
        <v>1</v>
      </c>
      <c r="C215" s="124"/>
      <c r="D215" s="124"/>
      <c r="F215" s="451"/>
      <c r="G215" s="459" t="s">
        <v>123</v>
      </c>
      <c r="H215" s="66"/>
      <c r="I215" s="66"/>
      <c r="J215" s="452"/>
      <c r="K215" s="453"/>
      <c r="L215" s="454"/>
      <c r="M215" s="454"/>
      <c r="N215" s="454"/>
      <c r="O215" s="454"/>
      <c r="P215" s="454"/>
      <c r="Q215" s="454"/>
      <c r="R215" s="454"/>
      <c r="S215" s="454"/>
      <c r="T215" s="454"/>
      <c r="U215" s="454"/>
      <c r="V215" s="454"/>
      <c r="W215" s="454"/>
      <c r="X215" s="454"/>
      <c r="Y215" s="454"/>
      <c r="Z215" s="454"/>
      <c r="AA215" s="454"/>
      <c r="AB215" s="454"/>
      <c r="AC215" s="454"/>
      <c r="AD215" s="454"/>
      <c r="AE215" s="454"/>
      <c r="AF215" s="454"/>
      <c r="AG215" s="454"/>
      <c r="AH215" s="454"/>
      <c r="AI215" s="454"/>
      <c r="AJ215" s="769"/>
    </row>
    <row r="216" spans="1:36" ht="15" customHeight="1">
      <c r="A216" s="40"/>
      <c r="B216" s="40"/>
      <c r="C216" s="124">
        <v>1</v>
      </c>
      <c r="D216" s="124"/>
      <c r="E216" s="124"/>
      <c r="F216" s="451"/>
      <c r="G216" s="41"/>
      <c r="H216" s="66" t="s">
        <v>35</v>
      </c>
      <c r="I216" s="66"/>
      <c r="J216" s="452"/>
      <c r="K216" s="453"/>
      <c r="L216" s="454"/>
      <c r="M216" s="454"/>
      <c r="N216" s="454"/>
      <c r="O216" s="454"/>
      <c r="P216" s="454"/>
      <c r="Q216" s="454"/>
      <c r="R216" s="454"/>
      <c r="S216" s="454"/>
      <c r="T216" s="454"/>
      <c r="U216" s="454"/>
      <c r="V216" s="454"/>
      <c r="W216" s="454"/>
      <c r="X216" s="454"/>
      <c r="Y216" s="454"/>
      <c r="Z216" s="454"/>
      <c r="AA216" s="454"/>
      <c r="AB216" s="454"/>
      <c r="AC216" s="454"/>
      <c r="AD216" s="454"/>
      <c r="AE216" s="454"/>
      <c r="AF216" s="454"/>
      <c r="AG216" s="454"/>
      <c r="AH216" s="454"/>
      <c r="AI216" s="454"/>
      <c r="AJ216" s="769"/>
    </row>
    <row r="217" spans="1:36" ht="15" customHeight="1">
      <c r="A217" s="40"/>
      <c r="B217" s="40"/>
      <c r="C217" s="124"/>
      <c r="D217" s="124">
        <v>3</v>
      </c>
      <c r="E217" s="124" t="s">
        <v>199</v>
      </c>
      <c r="F217" s="451"/>
      <c r="G217" s="41"/>
      <c r="H217" s="66"/>
      <c r="I217" s="66" t="s">
        <v>116</v>
      </c>
      <c r="J217" s="452">
        <v>35000000</v>
      </c>
      <c r="K217" s="453"/>
      <c r="L217" s="217">
        <f>SUM(J217:K217)</f>
        <v>35000000</v>
      </c>
      <c r="M217" s="217">
        <v>3193322</v>
      </c>
      <c r="N217" s="217"/>
      <c r="O217" s="217"/>
      <c r="P217" s="217"/>
      <c r="Q217" s="217"/>
      <c r="R217" s="217"/>
      <c r="S217" s="217">
        <f>SUM(M217:R217)</f>
        <v>3193322</v>
      </c>
      <c r="T217" s="217">
        <f>S217+L217</f>
        <v>38193322</v>
      </c>
      <c r="U217" s="217"/>
      <c r="V217" s="217"/>
      <c r="W217" s="217"/>
      <c r="X217" s="217"/>
      <c r="Y217" s="217"/>
      <c r="Z217" s="217">
        <f>SUM(U217:Y217)</f>
        <v>0</v>
      </c>
      <c r="AA217" s="217">
        <f>Z217+T217</f>
        <v>38193322</v>
      </c>
      <c r="AB217" s="217"/>
      <c r="AC217" s="217"/>
      <c r="AD217" s="217"/>
      <c r="AE217" s="217">
        <v>-230849</v>
      </c>
      <c r="AF217" s="217"/>
      <c r="AG217" s="217">
        <f t="shared" ref="AG217" si="200">SUM(AB217:AF217)</f>
        <v>-230849</v>
      </c>
      <c r="AH217" s="217">
        <f t="shared" ref="AH217" si="201">AG217+AA217</f>
        <v>37962473</v>
      </c>
      <c r="AI217" s="217">
        <v>20310705</v>
      </c>
      <c r="AJ217" s="764">
        <f>AI217/AH217*100</f>
        <v>53.502059784145253</v>
      </c>
    </row>
    <row r="218" spans="1:36" ht="15" customHeight="1">
      <c r="A218" s="40"/>
      <c r="B218" s="40"/>
      <c r="C218" s="124"/>
      <c r="D218" s="124"/>
      <c r="E218" s="124"/>
      <c r="F218" s="451"/>
      <c r="G218" s="41"/>
      <c r="H218" s="66"/>
      <c r="I218" s="66"/>
      <c r="J218" s="452"/>
      <c r="K218" s="453"/>
      <c r="L218" s="454"/>
      <c r="M218" s="454"/>
      <c r="N218" s="454"/>
      <c r="O218" s="454"/>
      <c r="P218" s="454"/>
      <c r="Q218" s="454"/>
      <c r="R218" s="454"/>
      <c r="S218" s="454"/>
      <c r="T218" s="454"/>
      <c r="U218" s="454"/>
      <c r="V218" s="454"/>
      <c r="W218" s="454"/>
      <c r="X218" s="454"/>
      <c r="Y218" s="454"/>
      <c r="Z218" s="454"/>
      <c r="AA218" s="454"/>
      <c r="AB218" s="454"/>
      <c r="AC218" s="454"/>
      <c r="AD218" s="454"/>
      <c r="AE218" s="454"/>
      <c r="AF218" s="454"/>
      <c r="AG218" s="454"/>
      <c r="AH218" s="454"/>
      <c r="AI218" s="454"/>
      <c r="AJ218" s="769"/>
    </row>
    <row r="219" spans="1:36" ht="15" customHeight="1">
      <c r="A219" s="40"/>
      <c r="B219" s="40"/>
      <c r="C219" s="124"/>
      <c r="D219" s="124"/>
      <c r="E219" s="124"/>
      <c r="F219" s="455" t="s">
        <v>38</v>
      </c>
      <c r="G219" s="455"/>
      <c r="H219" s="456"/>
      <c r="I219" s="455"/>
      <c r="J219" s="333">
        <f>SUM(J213:J218)</f>
        <v>35000000</v>
      </c>
      <c r="K219" s="457"/>
      <c r="L219" s="458">
        <f>SUM(L213:L218)</f>
        <v>35000000</v>
      </c>
      <c r="M219" s="458">
        <f>SUM(M217:M218)</f>
        <v>3193322</v>
      </c>
      <c r="N219" s="458">
        <f t="shared" ref="N219:T219" si="202">SUM(N217:N218)</f>
        <v>0</v>
      </c>
      <c r="O219" s="458">
        <f t="shared" si="202"/>
        <v>0</v>
      </c>
      <c r="P219" s="458">
        <f t="shared" si="202"/>
        <v>0</v>
      </c>
      <c r="Q219" s="458">
        <f t="shared" si="202"/>
        <v>0</v>
      </c>
      <c r="R219" s="458">
        <f t="shared" si="202"/>
        <v>0</v>
      </c>
      <c r="S219" s="458">
        <f t="shared" si="202"/>
        <v>3193322</v>
      </c>
      <c r="T219" s="458">
        <f t="shared" si="202"/>
        <v>38193322</v>
      </c>
      <c r="U219" s="458"/>
      <c r="V219" s="458"/>
      <c r="W219" s="458"/>
      <c r="X219" s="458"/>
      <c r="Y219" s="458"/>
      <c r="Z219" s="458">
        <f t="shared" ref="Z219:AA219" si="203">SUM(Z217:Z218)</f>
        <v>0</v>
      </c>
      <c r="AA219" s="458">
        <f t="shared" si="203"/>
        <v>38193322</v>
      </c>
      <c r="AB219" s="458"/>
      <c r="AC219" s="458"/>
      <c r="AD219" s="458"/>
      <c r="AE219" s="458">
        <f t="shared" ref="AE219:AI219" si="204">SUM(AE217:AE218)</f>
        <v>-230849</v>
      </c>
      <c r="AF219" s="458"/>
      <c r="AG219" s="458">
        <f t="shared" si="204"/>
        <v>-230849</v>
      </c>
      <c r="AH219" s="458">
        <f t="shared" si="204"/>
        <v>37962473</v>
      </c>
      <c r="AI219" s="458">
        <f t="shared" si="204"/>
        <v>20310705</v>
      </c>
      <c r="AJ219" s="770">
        <f>AI219/AH219*100</f>
        <v>53.502059784145253</v>
      </c>
    </row>
    <row r="220" spans="1:36" ht="15" customHeight="1">
      <c r="A220" s="40"/>
      <c r="B220" s="40"/>
      <c r="C220" s="124"/>
      <c r="D220" s="124"/>
      <c r="E220" s="124"/>
      <c r="F220" s="451"/>
      <c r="G220" s="41"/>
      <c r="H220" s="66"/>
      <c r="I220" s="66"/>
      <c r="J220" s="452"/>
      <c r="K220" s="453"/>
      <c r="L220" s="454"/>
      <c r="M220" s="454"/>
      <c r="N220" s="454"/>
      <c r="O220" s="454"/>
      <c r="P220" s="454"/>
      <c r="Q220" s="454"/>
      <c r="R220" s="454"/>
      <c r="S220" s="454"/>
      <c r="T220" s="454"/>
      <c r="U220" s="454"/>
      <c r="V220" s="454"/>
      <c r="W220" s="454"/>
      <c r="X220" s="454"/>
      <c r="Y220" s="454"/>
      <c r="Z220" s="454"/>
      <c r="AA220" s="454"/>
      <c r="AB220" s="454"/>
      <c r="AC220" s="454"/>
      <c r="AD220" s="454"/>
      <c r="AE220" s="454"/>
      <c r="AF220" s="454"/>
      <c r="AG220" s="454"/>
      <c r="AH220" s="454"/>
      <c r="AI220" s="454"/>
      <c r="AJ220" s="769"/>
    </row>
    <row r="221" spans="1:36" ht="17.5" customHeight="1">
      <c r="A221" s="40"/>
      <c r="B221" s="40">
        <v>2</v>
      </c>
      <c r="C221" s="124"/>
      <c r="D221" s="124"/>
      <c r="F221" s="451"/>
      <c r="G221" s="459" t="s">
        <v>72</v>
      </c>
      <c r="H221" s="66"/>
      <c r="I221" s="66"/>
      <c r="J221" s="452"/>
      <c r="K221" s="453"/>
      <c r="L221" s="454"/>
      <c r="M221" s="454"/>
      <c r="N221" s="454"/>
      <c r="O221" s="454"/>
      <c r="P221" s="454"/>
      <c r="Q221" s="454"/>
      <c r="R221" s="454"/>
      <c r="S221" s="454"/>
      <c r="T221" s="454"/>
      <c r="U221" s="454"/>
      <c r="V221" s="454"/>
      <c r="W221" s="454"/>
      <c r="X221" s="454"/>
      <c r="Y221" s="454"/>
      <c r="Z221" s="454"/>
      <c r="AA221" s="454"/>
      <c r="AB221" s="454"/>
      <c r="AC221" s="454"/>
      <c r="AD221" s="454"/>
      <c r="AE221" s="454"/>
      <c r="AF221" s="454"/>
      <c r="AG221" s="454"/>
      <c r="AH221" s="454"/>
      <c r="AI221" s="454"/>
      <c r="AJ221" s="769"/>
    </row>
    <row r="222" spans="1:36" ht="17.5" customHeight="1">
      <c r="A222" s="40"/>
      <c r="B222" s="40"/>
      <c r="C222" s="124">
        <v>1</v>
      </c>
      <c r="D222" s="124"/>
      <c r="E222" s="124"/>
      <c r="F222" s="451"/>
      <c r="G222" s="41"/>
      <c r="H222" s="66" t="s">
        <v>35</v>
      </c>
      <c r="I222" s="66"/>
      <c r="J222" s="452"/>
      <c r="K222" s="453"/>
      <c r="L222" s="454"/>
      <c r="M222" s="454"/>
      <c r="N222" s="454"/>
      <c r="O222" s="454"/>
      <c r="P222" s="454"/>
      <c r="Q222" s="454"/>
      <c r="R222" s="454"/>
      <c r="S222" s="454"/>
      <c r="T222" s="454"/>
      <c r="U222" s="454"/>
      <c r="V222" s="454"/>
      <c r="W222" s="454"/>
      <c r="X222" s="454"/>
      <c r="Y222" s="454"/>
      <c r="Z222" s="454"/>
      <c r="AA222" s="454"/>
      <c r="AB222" s="454"/>
      <c r="AC222" s="454"/>
      <c r="AD222" s="454"/>
      <c r="AE222" s="454"/>
      <c r="AF222" s="454"/>
      <c r="AG222" s="454"/>
      <c r="AH222" s="454"/>
      <c r="AI222" s="454"/>
      <c r="AJ222" s="769"/>
    </row>
    <row r="223" spans="1:36" ht="17.5" customHeight="1">
      <c r="A223" s="40"/>
      <c r="B223" s="40"/>
      <c r="C223" s="124"/>
      <c r="D223" s="124">
        <v>3</v>
      </c>
      <c r="E223" s="124" t="s">
        <v>199</v>
      </c>
      <c r="F223" s="451"/>
      <c r="G223" s="41"/>
      <c r="H223" s="66"/>
      <c r="I223" s="66" t="s">
        <v>116</v>
      </c>
      <c r="J223" s="452">
        <v>12000000</v>
      </c>
      <c r="K223" s="453"/>
      <c r="L223" s="217">
        <f>SUM(J223:K223)</f>
        <v>12000000</v>
      </c>
      <c r="M223" s="217">
        <v>2926521</v>
      </c>
      <c r="N223" s="217"/>
      <c r="O223" s="217"/>
      <c r="P223" s="217"/>
      <c r="Q223" s="217"/>
      <c r="R223" s="217"/>
      <c r="S223" s="217">
        <f>SUM(M223:R223)</f>
        <v>2926521</v>
      </c>
      <c r="T223" s="217">
        <f>S223+L223</f>
        <v>14926521</v>
      </c>
      <c r="U223" s="217"/>
      <c r="V223" s="217"/>
      <c r="W223" s="217"/>
      <c r="X223" s="217"/>
      <c r="Y223" s="217"/>
      <c r="Z223" s="217">
        <f>SUM(U223:Y223)</f>
        <v>0</v>
      </c>
      <c r="AA223" s="217">
        <f>Z223+T223</f>
        <v>14926521</v>
      </c>
      <c r="AB223" s="217"/>
      <c r="AC223" s="217"/>
      <c r="AD223" s="217"/>
      <c r="AE223" s="217">
        <v>-566615</v>
      </c>
      <c r="AF223" s="217"/>
      <c r="AG223" s="217">
        <f t="shared" ref="AG223" si="205">SUM(AB223:AF223)</f>
        <v>-566615</v>
      </c>
      <c r="AH223" s="217">
        <f t="shared" ref="AH223" si="206">AG223+AA223</f>
        <v>14359906</v>
      </c>
      <c r="AI223" s="217">
        <v>7819605</v>
      </c>
      <c r="AJ223" s="764">
        <f>AI223/AH223*100</f>
        <v>54.454430272732978</v>
      </c>
    </row>
    <row r="224" spans="1:36" ht="17.5" customHeight="1">
      <c r="A224" s="40"/>
      <c r="B224" s="40"/>
      <c r="C224" s="124"/>
      <c r="D224" s="124"/>
      <c r="E224" s="124"/>
      <c r="F224" s="451"/>
      <c r="G224" s="41"/>
      <c r="H224" s="66"/>
      <c r="I224" s="66"/>
      <c r="J224" s="452"/>
      <c r="K224" s="453"/>
      <c r="L224" s="454"/>
      <c r="M224" s="454"/>
      <c r="N224" s="454"/>
      <c r="O224" s="454"/>
      <c r="P224" s="454"/>
      <c r="Q224" s="454"/>
      <c r="R224" s="454"/>
      <c r="S224" s="454"/>
      <c r="T224" s="454"/>
      <c r="U224" s="454"/>
      <c r="V224" s="454"/>
      <c r="W224" s="454"/>
      <c r="X224" s="454"/>
      <c r="Y224" s="454"/>
      <c r="Z224" s="454"/>
      <c r="AA224" s="454"/>
      <c r="AB224" s="454"/>
      <c r="AC224" s="454"/>
      <c r="AD224" s="454"/>
      <c r="AE224" s="454"/>
      <c r="AF224" s="454"/>
      <c r="AG224" s="454"/>
      <c r="AH224" s="454"/>
      <c r="AI224" s="454"/>
      <c r="AJ224" s="769"/>
    </row>
    <row r="225" spans="1:36" ht="17.5" customHeight="1">
      <c r="A225" s="40"/>
      <c r="B225" s="40"/>
      <c r="C225" s="124"/>
      <c r="D225" s="124"/>
      <c r="E225" s="124"/>
      <c r="F225" s="455" t="s">
        <v>38</v>
      </c>
      <c r="G225" s="455"/>
      <c r="H225" s="456"/>
      <c r="I225" s="455"/>
      <c r="J225" s="333">
        <f>SUM(J220:J224)</f>
        <v>12000000</v>
      </c>
      <c r="K225" s="457"/>
      <c r="L225" s="458">
        <f>SUM(L220:L224)</f>
        <v>12000000</v>
      </c>
      <c r="M225" s="458">
        <f>SUM(M223:M224)</f>
        <v>2926521</v>
      </c>
      <c r="N225" s="458">
        <f t="shared" ref="N225:T225" si="207">SUM(N223:N224)</f>
        <v>0</v>
      </c>
      <c r="O225" s="458">
        <f t="shared" si="207"/>
        <v>0</v>
      </c>
      <c r="P225" s="458">
        <f t="shared" si="207"/>
        <v>0</v>
      </c>
      <c r="Q225" s="458">
        <f t="shared" si="207"/>
        <v>0</v>
      </c>
      <c r="R225" s="458">
        <f t="shared" si="207"/>
        <v>0</v>
      </c>
      <c r="S225" s="458">
        <f t="shared" si="207"/>
        <v>2926521</v>
      </c>
      <c r="T225" s="458">
        <f t="shared" si="207"/>
        <v>14926521</v>
      </c>
      <c r="U225" s="458"/>
      <c r="V225" s="458"/>
      <c r="W225" s="458"/>
      <c r="X225" s="458"/>
      <c r="Y225" s="458"/>
      <c r="Z225" s="458">
        <f t="shared" ref="Z225:AA225" si="208">SUM(Z223:Z224)</f>
        <v>0</v>
      </c>
      <c r="AA225" s="458">
        <f t="shared" si="208"/>
        <v>14926521</v>
      </c>
      <c r="AB225" s="458"/>
      <c r="AC225" s="458"/>
      <c r="AD225" s="458"/>
      <c r="AE225" s="458">
        <f t="shared" ref="AE225:AI225" si="209">SUM(AE223:AE224)</f>
        <v>-566615</v>
      </c>
      <c r="AF225" s="458"/>
      <c r="AG225" s="458">
        <f t="shared" si="209"/>
        <v>-566615</v>
      </c>
      <c r="AH225" s="458">
        <f t="shared" si="209"/>
        <v>14359906</v>
      </c>
      <c r="AI225" s="458">
        <f t="shared" si="209"/>
        <v>7819605</v>
      </c>
      <c r="AJ225" s="770">
        <f>AI225/AH225*100</f>
        <v>54.454430272732978</v>
      </c>
    </row>
    <row r="226" spans="1:36" ht="16" customHeight="1">
      <c r="A226" s="40"/>
      <c r="B226" s="40"/>
      <c r="C226" s="124"/>
      <c r="D226" s="124"/>
      <c r="E226" s="124"/>
      <c r="F226" s="451"/>
      <c r="G226" s="41"/>
      <c r="H226" s="66"/>
      <c r="I226" s="41"/>
      <c r="J226" s="126"/>
      <c r="K226" s="204"/>
      <c r="L226" s="205"/>
      <c r="M226" s="205"/>
      <c r="N226" s="205"/>
      <c r="O226" s="205"/>
      <c r="P226" s="205"/>
      <c r="Q226" s="205"/>
      <c r="R226" s="205"/>
      <c r="S226" s="205"/>
      <c r="T226" s="205"/>
      <c r="U226" s="205"/>
      <c r="V226" s="205"/>
      <c r="W226" s="205"/>
      <c r="X226" s="205"/>
      <c r="Y226" s="205"/>
      <c r="Z226" s="205"/>
      <c r="AA226" s="205"/>
      <c r="AB226" s="205"/>
      <c r="AC226" s="205"/>
      <c r="AD226" s="205"/>
      <c r="AE226" s="205"/>
      <c r="AF226" s="205"/>
      <c r="AG226" s="205"/>
      <c r="AH226" s="205"/>
      <c r="AI226" s="205"/>
      <c r="AJ226" s="747"/>
    </row>
    <row r="227" spans="1:36" ht="16" customHeight="1">
      <c r="A227" s="40"/>
      <c r="B227" s="40">
        <v>3</v>
      </c>
      <c r="C227" s="124"/>
      <c r="D227" s="124"/>
      <c r="F227" s="451"/>
      <c r="G227" s="459" t="s">
        <v>73</v>
      </c>
      <c r="H227" s="66"/>
      <c r="I227" s="66"/>
      <c r="J227" s="452"/>
      <c r="K227" s="453"/>
      <c r="L227" s="454"/>
      <c r="M227" s="454"/>
      <c r="N227" s="454"/>
      <c r="O227" s="454"/>
      <c r="P227" s="454"/>
      <c r="Q227" s="454"/>
      <c r="R227" s="454"/>
      <c r="S227" s="454"/>
      <c r="T227" s="454"/>
      <c r="U227" s="454"/>
      <c r="V227" s="454"/>
      <c r="W227" s="454"/>
      <c r="X227" s="454"/>
      <c r="Y227" s="454"/>
      <c r="Z227" s="454"/>
      <c r="AA227" s="454"/>
      <c r="AB227" s="454"/>
      <c r="AC227" s="454"/>
      <c r="AD227" s="454"/>
      <c r="AE227" s="454"/>
      <c r="AF227" s="454"/>
      <c r="AG227" s="454"/>
      <c r="AH227" s="454"/>
      <c r="AI227" s="454"/>
      <c r="AJ227" s="769"/>
    </row>
    <row r="228" spans="1:36" ht="16" customHeight="1">
      <c r="A228" s="40"/>
      <c r="B228" s="40"/>
      <c r="C228" s="124">
        <v>1</v>
      </c>
      <c r="D228" s="124"/>
      <c r="E228" s="124"/>
      <c r="F228" s="451"/>
      <c r="G228" s="41"/>
      <c r="H228" s="66" t="s">
        <v>35</v>
      </c>
      <c r="I228" s="66"/>
      <c r="J228" s="452"/>
      <c r="K228" s="453"/>
      <c r="L228" s="454"/>
      <c r="M228" s="454"/>
      <c r="N228" s="454"/>
      <c r="O228" s="454"/>
      <c r="P228" s="454"/>
      <c r="Q228" s="454"/>
      <c r="R228" s="454"/>
      <c r="S228" s="454"/>
      <c r="T228" s="454"/>
      <c r="U228" s="454"/>
      <c r="V228" s="454"/>
      <c r="W228" s="454"/>
      <c r="X228" s="454"/>
      <c r="Y228" s="454"/>
      <c r="Z228" s="454"/>
      <c r="AA228" s="454"/>
      <c r="AB228" s="454"/>
      <c r="AC228" s="454"/>
      <c r="AD228" s="454"/>
      <c r="AE228" s="454"/>
      <c r="AF228" s="454"/>
      <c r="AG228" s="454"/>
      <c r="AH228" s="454"/>
      <c r="AI228" s="454"/>
      <c r="AJ228" s="769"/>
    </row>
    <row r="229" spans="1:36" ht="16" customHeight="1">
      <c r="A229" s="40"/>
      <c r="B229" s="40"/>
      <c r="C229" s="124"/>
      <c r="D229" s="124">
        <v>3</v>
      </c>
      <c r="E229" s="124" t="s">
        <v>199</v>
      </c>
      <c r="F229" s="451"/>
      <c r="G229" s="41"/>
      <c r="H229" s="66"/>
      <c r="I229" s="66" t="s">
        <v>116</v>
      </c>
      <c r="J229" s="452">
        <v>9000000</v>
      </c>
      <c r="K229" s="453"/>
      <c r="L229" s="217">
        <f>SUM(J229:K229)</f>
        <v>9000000</v>
      </c>
      <c r="M229" s="217">
        <v>858726</v>
      </c>
      <c r="N229" s="217"/>
      <c r="O229" s="217"/>
      <c r="P229" s="217"/>
      <c r="Q229" s="217"/>
      <c r="R229" s="217"/>
      <c r="S229" s="217">
        <f>SUM(M229:R229)</f>
        <v>858726</v>
      </c>
      <c r="T229" s="217">
        <f>S229+L229</f>
        <v>9858726</v>
      </c>
      <c r="U229" s="217"/>
      <c r="V229" s="217"/>
      <c r="W229" s="217"/>
      <c r="X229" s="217"/>
      <c r="Y229" s="217"/>
      <c r="Z229" s="217">
        <f>SUM(U229:Y229)</f>
        <v>0</v>
      </c>
      <c r="AA229" s="217">
        <f>Z229+T229</f>
        <v>9858726</v>
      </c>
      <c r="AB229" s="217"/>
      <c r="AC229" s="217"/>
      <c r="AD229" s="217"/>
      <c r="AE229" s="217">
        <v>-5489</v>
      </c>
      <c r="AF229" s="217"/>
      <c r="AG229" s="217">
        <f t="shared" ref="AG229" si="210">SUM(AB229:AF229)</f>
        <v>-5489</v>
      </c>
      <c r="AH229" s="217">
        <f t="shared" ref="AH229" si="211">AG229+AA229</f>
        <v>9853237</v>
      </c>
      <c r="AI229" s="217">
        <v>3007716</v>
      </c>
      <c r="AJ229" s="764">
        <f>AI229/AH229*100</f>
        <v>30.525156352171372</v>
      </c>
    </row>
    <row r="230" spans="1:36" ht="16" customHeight="1">
      <c r="A230" s="40"/>
      <c r="B230" s="40"/>
      <c r="C230" s="124"/>
      <c r="D230" s="124"/>
      <c r="E230" s="124"/>
      <c r="F230" s="451"/>
      <c r="G230" s="41"/>
      <c r="H230" s="66"/>
      <c r="I230" s="66"/>
      <c r="J230" s="452"/>
      <c r="K230" s="453"/>
      <c r="L230" s="454"/>
      <c r="M230" s="454"/>
      <c r="N230" s="454"/>
      <c r="O230" s="454"/>
      <c r="P230" s="454"/>
      <c r="Q230" s="454"/>
      <c r="R230" s="454"/>
      <c r="S230" s="454"/>
      <c r="T230" s="454"/>
      <c r="U230" s="454"/>
      <c r="V230" s="454"/>
      <c r="W230" s="454"/>
      <c r="X230" s="454"/>
      <c r="Y230" s="454"/>
      <c r="Z230" s="454"/>
      <c r="AA230" s="454"/>
      <c r="AB230" s="454"/>
      <c r="AC230" s="454"/>
      <c r="AD230" s="454"/>
      <c r="AE230" s="454"/>
      <c r="AF230" s="454"/>
      <c r="AG230" s="454"/>
      <c r="AH230" s="454"/>
      <c r="AI230" s="454"/>
      <c r="AJ230" s="769"/>
    </row>
    <row r="231" spans="1:36" ht="14.5" customHeight="1">
      <c r="A231" s="40"/>
      <c r="B231" s="40"/>
      <c r="C231" s="124"/>
      <c r="D231" s="124"/>
      <c r="E231" s="124"/>
      <c r="F231" s="455" t="s">
        <v>38</v>
      </c>
      <c r="G231" s="455"/>
      <c r="H231" s="456"/>
      <c r="I231" s="455"/>
      <c r="J231" s="333">
        <f>SUM(J226:J230)</f>
        <v>9000000</v>
      </c>
      <c r="K231" s="457"/>
      <c r="L231" s="458">
        <f>SUM(L226:L230)</f>
        <v>9000000</v>
      </c>
      <c r="M231" s="458">
        <f>SUM(M229:M230)</f>
        <v>858726</v>
      </c>
      <c r="N231" s="458">
        <f t="shared" ref="N231:T231" si="212">SUM(N229:N230)</f>
        <v>0</v>
      </c>
      <c r="O231" s="458">
        <f t="shared" si="212"/>
        <v>0</v>
      </c>
      <c r="P231" s="458">
        <f t="shared" si="212"/>
        <v>0</v>
      </c>
      <c r="Q231" s="458">
        <f t="shared" si="212"/>
        <v>0</v>
      </c>
      <c r="R231" s="458">
        <f t="shared" si="212"/>
        <v>0</v>
      </c>
      <c r="S231" s="458">
        <f t="shared" si="212"/>
        <v>858726</v>
      </c>
      <c r="T231" s="458">
        <f t="shared" si="212"/>
        <v>9858726</v>
      </c>
      <c r="U231" s="458"/>
      <c r="V231" s="458"/>
      <c r="W231" s="458"/>
      <c r="X231" s="458"/>
      <c r="Y231" s="458"/>
      <c r="Z231" s="458">
        <f t="shared" ref="Z231:AA231" si="213">SUM(Z229:Z230)</f>
        <v>0</v>
      </c>
      <c r="AA231" s="458">
        <f t="shared" si="213"/>
        <v>9858726</v>
      </c>
      <c r="AB231" s="458"/>
      <c r="AC231" s="458"/>
      <c r="AD231" s="458"/>
      <c r="AE231" s="458">
        <f t="shared" ref="AE231:AI231" si="214">SUM(AE229:AE230)</f>
        <v>-5489</v>
      </c>
      <c r="AF231" s="458"/>
      <c r="AG231" s="458">
        <f t="shared" si="214"/>
        <v>-5489</v>
      </c>
      <c r="AH231" s="458">
        <f t="shared" si="214"/>
        <v>9853237</v>
      </c>
      <c r="AI231" s="458">
        <f t="shared" si="214"/>
        <v>3007716</v>
      </c>
      <c r="AJ231" s="770">
        <f>AI231/AH231*100</f>
        <v>30.525156352171372</v>
      </c>
    </row>
    <row r="232" spans="1:36" ht="14.5" customHeight="1">
      <c r="A232" s="40"/>
      <c r="B232" s="40"/>
      <c r="C232" s="124"/>
      <c r="D232" s="124"/>
      <c r="E232" s="124"/>
      <c r="F232" s="451"/>
      <c r="G232" s="41"/>
      <c r="H232" s="66"/>
      <c r="I232" s="41"/>
      <c r="J232" s="126"/>
      <c r="K232" s="204"/>
      <c r="L232" s="205"/>
      <c r="M232" s="205"/>
      <c r="N232" s="205"/>
      <c r="O232" s="205"/>
      <c r="P232" s="205"/>
      <c r="Q232" s="205"/>
      <c r="R232" s="205"/>
      <c r="S232" s="205"/>
      <c r="T232" s="205"/>
      <c r="U232" s="205"/>
      <c r="V232" s="205"/>
      <c r="W232" s="205"/>
      <c r="X232" s="205"/>
      <c r="Y232" s="205"/>
      <c r="Z232" s="205"/>
      <c r="AA232" s="205"/>
      <c r="AB232" s="205"/>
      <c r="AC232" s="205"/>
      <c r="AD232" s="205"/>
      <c r="AE232" s="205"/>
      <c r="AF232" s="205"/>
      <c r="AG232" s="205"/>
      <c r="AH232" s="205"/>
      <c r="AI232" s="205"/>
      <c r="AJ232" s="747"/>
    </row>
    <row r="233" spans="1:36" ht="14.5" customHeight="1">
      <c r="A233" s="40"/>
      <c r="B233" s="40">
        <v>4</v>
      </c>
      <c r="C233" s="124"/>
      <c r="D233" s="124"/>
      <c r="F233" s="451"/>
      <c r="G233" s="459" t="s">
        <v>74</v>
      </c>
      <c r="H233" s="66"/>
      <c r="I233" s="66"/>
      <c r="J233" s="452"/>
      <c r="K233" s="453"/>
      <c r="L233" s="454"/>
      <c r="M233" s="454"/>
      <c r="N233" s="454"/>
      <c r="O233" s="454"/>
      <c r="P233" s="454"/>
      <c r="Q233" s="454"/>
      <c r="R233" s="454"/>
      <c r="S233" s="454"/>
      <c r="T233" s="454"/>
      <c r="U233" s="454"/>
      <c r="V233" s="454"/>
      <c r="W233" s="454"/>
      <c r="X233" s="454"/>
      <c r="Y233" s="454"/>
      <c r="Z233" s="454"/>
      <c r="AA233" s="454"/>
      <c r="AB233" s="454"/>
      <c r="AC233" s="454"/>
      <c r="AD233" s="454"/>
      <c r="AE233" s="454"/>
      <c r="AF233" s="454"/>
      <c r="AG233" s="454"/>
      <c r="AH233" s="454"/>
      <c r="AI233" s="454"/>
      <c r="AJ233" s="769"/>
    </row>
    <row r="234" spans="1:36" ht="14.5" customHeight="1">
      <c r="A234" s="40"/>
      <c r="B234" s="40"/>
      <c r="C234" s="124">
        <v>1</v>
      </c>
      <c r="D234" s="124"/>
      <c r="E234" s="124"/>
      <c r="F234" s="451"/>
      <c r="G234" s="41"/>
      <c r="H234" s="66" t="s">
        <v>35</v>
      </c>
      <c r="I234" s="66"/>
      <c r="J234" s="452"/>
      <c r="K234" s="453"/>
      <c r="L234" s="454"/>
      <c r="M234" s="454"/>
      <c r="N234" s="454"/>
      <c r="O234" s="454"/>
      <c r="P234" s="454"/>
      <c r="Q234" s="454"/>
      <c r="R234" s="454"/>
      <c r="S234" s="454"/>
      <c r="T234" s="454"/>
      <c r="U234" s="454"/>
      <c r="V234" s="454"/>
      <c r="W234" s="454"/>
      <c r="X234" s="454"/>
      <c r="Y234" s="454"/>
      <c r="Z234" s="454"/>
      <c r="AA234" s="454"/>
      <c r="AB234" s="454"/>
      <c r="AC234" s="454"/>
      <c r="AD234" s="454"/>
      <c r="AE234" s="454"/>
      <c r="AF234" s="454"/>
      <c r="AG234" s="454"/>
      <c r="AH234" s="454"/>
      <c r="AI234" s="454"/>
      <c r="AJ234" s="769"/>
    </row>
    <row r="235" spans="1:36" ht="14.5" customHeight="1">
      <c r="A235" s="40"/>
      <c r="B235" s="40"/>
      <c r="C235" s="124"/>
      <c r="D235" s="124">
        <v>3</v>
      </c>
      <c r="E235" s="124" t="s">
        <v>199</v>
      </c>
      <c r="F235" s="451"/>
      <c r="G235" s="41"/>
      <c r="H235" s="66"/>
      <c r="I235" s="66" t="s">
        <v>116</v>
      </c>
      <c r="J235" s="452">
        <v>1500000</v>
      </c>
      <c r="K235" s="453"/>
      <c r="L235" s="217">
        <f>SUM(J235:K235)</f>
        <v>1500000</v>
      </c>
      <c r="M235" s="217">
        <v>1498600</v>
      </c>
      <c r="N235" s="217"/>
      <c r="O235" s="217"/>
      <c r="P235" s="217"/>
      <c r="Q235" s="217"/>
      <c r="R235" s="217"/>
      <c r="S235" s="217">
        <f>SUM(M235:R235)</f>
        <v>1498600</v>
      </c>
      <c r="T235" s="217">
        <f>S235+L235</f>
        <v>2998600</v>
      </c>
      <c r="U235" s="217"/>
      <c r="V235" s="217"/>
      <c r="W235" s="217"/>
      <c r="X235" s="217"/>
      <c r="Y235" s="217"/>
      <c r="Z235" s="217">
        <f>SUM(U235:Y235)</f>
        <v>0</v>
      </c>
      <c r="AA235" s="217">
        <f>Z235+T235</f>
        <v>2998600</v>
      </c>
      <c r="AB235" s="217"/>
      <c r="AC235" s="217"/>
      <c r="AD235" s="217"/>
      <c r="AE235" s="217"/>
      <c r="AF235" s="217"/>
      <c r="AG235" s="217">
        <f t="shared" ref="AG235" si="215">SUM(AB235:AF235)</f>
        <v>0</v>
      </c>
      <c r="AH235" s="217">
        <f t="shared" ref="AH235" si="216">AG235+AA235</f>
        <v>2998600</v>
      </c>
      <c r="AI235" s="217">
        <v>2386817</v>
      </c>
      <c r="AJ235" s="764">
        <f>AI235/AH235*100</f>
        <v>79.597712265724013</v>
      </c>
    </row>
    <row r="236" spans="1:36" ht="14.5" customHeight="1">
      <c r="A236" s="40"/>
      <c r="B236" s="40"/>
      <c r="C236" s="124"/>
      <c r="D236" s="124"/>
      <c r="E236" s="124"/>
      <c r="F236" s="451"/>
      <c r="G236" s="41"/>
      <c r="H236" s="66"/>
      <c r="I236" s="66"/>
      <c r="J236" s="452"/>
      <c r="K236" s="453"/>
      <c r="L236" s="454"/>
      <c r="M236" s="454"/>
      <c r="N236" s="454"/>
      <c r="O236" s="454"/>
      <c r="P236" s="454"/>
      <c r="Q236" s="454"/>
      <c r="R236" s="454"/>
      <c r="S236" s="454"/>
      <c r="T236" s="454"/>
      <c r="U236" s="454"/>
      <c r="V236" s="454"/>
      <c r="W236" s="454"/>
      <c r="X236" s="454"/>
      <c r="Y236" s="454"/>
      <c r="Z236" s="454"/>
      <c r="AA236" s="454"/>
      <c r="AB236" s="454"/>
      <c r="AC236" s="454"/>
      <c r="AD236" s="454"/>
      <c r="AE236" s="454"/>
      <c r="AF236" s="454"/>
      <c r="AG236" s="454"/>
      <c r="AH236" s="454"/>
      <c r="AI236" s="454"/>
      <c r="AJ236" s="769"/>
    </row>
    <row r="237" spans="1:36" ht="14.5" customHeight="1">
      <c r="A237" s="40"/>
      <c r="B237" s="40"/>
      <c r="C237" s="124"/>
      <c r="D237" s="124"/>
      <c r="E237" s="124"/>
      <c r="F237" s="455" t="s">
        <v>38</v>
      </c>
      <c r="G237" s="455"/>
      <c r="H237" s="456"/>
      <c r="I237" s="455"/>
      <c r="J237" s="333">
        <f>SUM(J232:J236)</f>
        <v>1500000</v>
      </c>
      <c r="K237" s="457"/>
      <c r="L237" s="458">
        <f>SUM(L232:L236)</f>
        <v>1500000</v>
      </c>
      <c r="M237" s="458">
        <f>SUM(M235:M236)</f>
        <v>1498600</v>
      </c>
      <c r="N237" s="458">
        <f t="shared" ref="N237:T237" si="217">SUM(N235:N236)</f>
        <v>0</v>
      </c>
      <c r="O237" s="458">
        <f t="shared" si="217"/>
        <v>0</v>
      </c>
      <c r="P237" s="458">
        <f t="shared" si="217"/>
        <v>0</v>
      </c>
      <c r="Q237" s="458">
        <f t="shared" si="217"/>
        <v>0</v>
      </c>
      <c r="R237" s="458">
        <f t="shared" si="217"/>
        <v>0</v>
      </c>
      <c r="S237" s="458">
        <f t="shared" si="217"/>
        <v>1498600</v>
      </c>
      <c r="T237" s="458">
        <f t="shared" si="217"/>
        <v>2998600</v>
      </c>
      <c r="U237" s="458"/>
      <c r="V237" s="458"/>
      <c r="W237" s="458"/>
      <c r="X237" s="458"/>
      <c r="Y237" s="458"/>
      <c r="Z237" s="458">
        <f t="shared" ref="Z237:AA237" si="218">SUM(Z235:Z236)</f>
        <v>0</v>
      </c>
      <c r="AA237" s="458">
        <f t="shared" si="218"/>
        <v>2998600</v>
      </c>
      <c r="AB237" s="458"/>
      <c r="AC237" s="458"/>
      <c r="AD237" s="458"/>
      <c r="AE237" s="458"/>
      <c r="AF237" s="458"/>
      <c r="AG237" s="458">
        <f t="shared" ref="AG237:AI237" si="219">SUM(AG235:AG236)</f>
        <v>0</v>
      </c>
      <c r="AH237" s="458">
        <f t="shared" si="219"/>
        <v>2998600</v>
      </c>
      <c r="AI237" s="458">
        <f t="shared" si="219"/>
        <v>2386817</v>
      </c>
      <c r="AJ237" s="770">
        <f>AI237/AH237*100</f>
        <v>79.597712265724013</v>
      </c>
    </row>
    <row r="238" spans="1:36" ht="14.5" customHeight="1">
      <c r="A238" s="40"/>
      <c r="B238" s="40"/>
      <c r="C238" s="124"/>
      <c r="D238" s="124"/>
      <c r="E238" s="124"/>
      <c r="F238" s="451"/>
      <c r="G238" s="41"/>
      <c r="H238" s="66"/>
      <c r="I238" s="41"/>
      <c r="J238" s="126"/>
      <c r="K238" s="204"/>
      <c r="L238" s="205"/>
      <c r="M238" s="205"/>
      <c r="N238" s="205"/>
      <c r="O238" s="205"/>
      <c r="P238" s="205"/>
      <c r="Q238" s="205"/>
      <c r="R238" s="205"/>
      <c r="S238" s="205"/>
      <c r="T238" s="205"/>
      <c r="U238" s="205"/>
      <c r="V238" s="205"/>
      <c r="W238" s="205"/>
      <c r="X238" s="205"/>
      <c r="Y238" s="205"/>
      <c r="Z238" s="205"/>
      <c r="AA238" s="205"/>
      <c r="AB238" s="205"/>
      <c r="AC238" s="205"/>
      <c r="AD238" s="205"/>
      <c r="AE238" s="205"/>
      <c r="AF238" s="205"/>
      <c r="AG238" s="205"/>
      <c r="AH238" s="205"/>
      <c r="AI238" s="205"/>
      <c r="AJ238" s="747"/>
    </row>
    <row r="239" spans="1:36" ht="14.5" customHeight="1">
      <c r="A239" s="40"/>
      <c r="B239" s="40">
        <v>5</v>
      </c>
      <c r="C239" s="124"/>
      <c r="D239" s="124"/>
      <c r="F239" s="451"/>
      <c r="G239" s="459" t="s">
        <v>124</v>
      </c>
      <c r="H239" s="66"/>
      <c r="I239" s="66"/>
      <c r="J239" s="452"/>
      <c r="K239" s="453"/>
      <c r="L239" s="454"/>
      <c r="M239" s="454"/>
      <c r="N239" s="454"/>
      <c r="O239" s="454"/>
      <c r="P239" s="454"/>
      <c r="Q239" s="454"/>
      <c r="R239" s="454"/>
      <c r="S239" s="454"/>
      <c r="T239" s="454"/>
      <c r="U239" s="454"/>
      <c r="V239" s="454"/>
      <c r="W239" s="454"/>
      <c r="X239" s="454"/>
      <c r="Y239" s="454"/>
      <c r="Z239" s="454"/>
      <c r="AA239" s="454"/>
      <c r="AB239" s="454"/>
      <c r="AC239" s="454"/>
      <c r="AD239" s="454"/>
      <c r="AE239" s="454"/>
      <c r="AF239" s="454"/>
      <c r="AG239" s="454"/>
      <c r="AH239" s="454"/>
      <c r="AI239" s="454"/>
      <c r="AJ239" s="769"/>
    </row>
    <row r="240" spans="1:36" ht="14.5" customHeight="1">
      <c r="A240" s="40"/>
      <c r="B240" s="40"/>
      <c r="C240" s="124">
        <v>1</v>
      </c>
      <c r="D240" s="124"/>
      <c r="E240" s="124"/>
      <c r="F240" s="451"/>
      <c r="G240" s="41"/>
      <c r="H240" s="66" t="s">
        <v>35</v>
      </c>
      <c r="I240" s="66"/>
      <c r="J240" s="452"/>
      <c r="K240" s="453"/>
      <c r="L240" s="454"/>
      <c r="M240" s="454"/>
      <c r="N240" s="454"/>
      <c r="O240" s="454"/>
      <c r="P240" s="454"/>
      <c r="Q240" s="454"/>
      <c r="R240" s="454"/>
      <c r="S240" s="454"/>
      <c r="T240" s="454"/>
      <c r="U240" s="454"/>
      <c r="V240" s="454"/>
      <c r="W240" s="454"/>
      <c r="X240" s="454"/>
      <c r="Y240" s="454"/>
      <c r="Z240" s="454"/>
      <c r="AA240" s="454"/>
      <c r="AB240" s="454"/>
      <c r="AC240" s="454"/>
      <c r="AD240" s="454"/>
      <c r="AE240" s="454"/>
      <c r="AF240" s="454"/>
      <c r="AG240" s="454"/>
      <c r="AH240" s="454"/>
      <c r="AI240" s="454"/>
      <c r="AJ240" s="769"/>
    </row>
    <row r="241" spans="1:36" ht="14.5" customHeight="1">
      <c r="A241" s="40"/>
      <c r="B241" s="40"/>
      <c r="C241" s="124"/>
      <c r="D241" s="124">
        <v>3</v>
      </c>
      <c r="E241" s="124" t="s">
        <v>199</v>
      </c>
      <c r="F241" s="451"/>
      <c r="G241" s="41"/>
      <c r="H241" s="66"/>
      <c r="I241" s="66" t="s">
        <v>116</v>
      </c>
      <c r="J241" s="452">
        <v>3000000</v>
      </c>
      <c r="K241" s="453"/>
      <c r="L241" s="217">
        <f>SUM(J241:K241)</f>
        <v>3000000</v>
      </c>
      <c r="M241" s="217">
        <v>411203</v>
      </c>
      <c r="N241" s="217"/>
      <c r="O241" s="217"/>
      <c r="P241" s="217"/>
      <c r="Q241" s="217"/>
      <c r="R241" s="217"/>
      <c r="S241" s="217">
        <f>SUM(M241:R241)</f>
        <v>411203</v>
      </c>
      <c r="T241" s="217">
        <f>S241+L241</f>
        <v>3411203</v>
      </c>
      <c r="U241" s="217"/>
      <c r="V241" s="217"/>
      <c r="W241" s="217"/>
      <c r="X241" s="217"/>
      <c r="Y241" s="217"/>
      <c r="Z241" s="217">
        <f>SUM(U241:Y241)</f>
        <v>0</v>
      </c>
      <c r="AA241" s="217">
        <f>Z241+T241</f>
        <v>3411203</v>
      </c>
      <c r="AB241" s="217"/>
      <c r="AC241" s="217"/>
      <c r="AD241" s="217"/>
      <c r="AE241" s="217"/>
      <c r="AF241" s="217"/>
      <c r="AG241" s="217">
        <f t="shared" ref="AG241" si="220">SUM(AB241:AF241)</f>
        <v>0</v>
      </c>
      <c r="AH241" s="217">
        <f t="shared" ref="AH241" si="221">AG241+AA241</f>
        <v>3411203</v>
      </c>
      <c r="AI241" s="217">
        <v>411203</v>
      </c>
      <c r="AJ241" s="764">
        <f>AI241/AH241*100</f>
        <v>12.054486349830249</v>
      </c>
    </row>
    <row r="242" spans="1:36" ht="14.5" customHeight="1">
      <c r="A242" s="40"/>
      <c r="B242" s="40"/>
      <c r="C242" s="124"/>
      <c r="D242" s="124"/>
      <c r="E242" s="124"/>
      <c r="F242" s="451"/>
      <c r="G242" s="41"/>
      <c r="H242" s="66"/>
      <c r="I242" s="66"/>
      <c r="J242" s="452"/>
      <c r="K242" s="453"/>
      <c r="L242" s="454"/>
      <c r="M242" s="454"/>
      <c r="N242" s="454"/>
      <c r="O242" s="454"/>
      <c r="P242" s="454"/>
      <c r="Q242" s="454"/>
      <c r="R242" s="454"/>
      <c r="S242" s="454"/>
      <c r="T242" s="454"/>
      <c r="U242" s="454"/>
      <c r="V242" s="454"/>
      <c r="W242" s="454"/>
      <c r="X242" s="454"/>
      <c r="Y242" s="454"/>
      <c r="Z242" s="454"/>
      <c r="AA242" s="454"/>
      <c r="AB242" s="454"/>
      <c r="AC242" s="454"/>
      <c r="AD242" s="454"/>
      <c r="AE242" s="454"/>
      <c r="AF242" s="454"/>
      <c r="AG242" s="454"/>
      <c r="AH242" s="454"/>
      <c r="AI242" s="454"/>
      <c r="AJ242" s="769"/>
    </row>
    <row r="243" spans="1:36" ht="14.5" customHeight="1">
      <c r="A243" s="40"/>
      <c r="B243" s="40"/>
      <c r="C243" s="124"/>
      <c r="D243" s="124"/>
      <c r="E243" s="124"/>
      <c r="F243" s="455" t="s">
        <v>38</v>
      </c>
      <c r="G243" s="455"/>
      <c r="H243" s="456"/>
      <c r="I243" s="455"/>
      <c r="J243" s="333">
        <f>SUM(J238:J242)</f>
        <v>3000000</v>
      </c>
      <c r="K243" s="457"/>
      <c r="L243" s="458">
        <f>SUM(L238:L242)</f>
        <v>3000000</v>
      </c>
      <c r="M243" s="458">
        <f>SUM(M241:M242)</f>
        <v>411203</v>
      </c>
      <c r="N243" s="458">
        <f t="shared" ref="N243:T243" si="222">SUM(N241:N242)</f>
        <v>0</v>
      </c>
      <c r="O243" s="458">
        <f t="shared" si="222"/>
        <v>0</v>
      </c>
      <c r="P243" s="458">
        <f t="shared" si="222"/>
        <v>0</v>
      </c>
      <c r="Q243" s="458">
        <f t="shared" si="222"/>
        <v>0</v>
      </c>
      <c r="R243" s="458">
        <f t="shared" si="222"/>
        <v>0</v>
      </c>
      <c r="S243" s="458">
        <f t="shared" si="222"/>
        <v>411203</v>
      </c>
      <c r="T243" s="458">
        <f t="shared" si="222"/>
        <v>3411203</v>
      </c>
      <c r="U243" s="458"/>
      <c r="V243" s="458"/>
      <c r="W243" s="458"/>
      <c r="X243" s="458"/>
      <c r="Y243" s="458"/>
      <c r="Z243" s="458">
        <f t="shared" ref="Z243:AA243" si="223">SUM(Z241:Z242)</f>
        <v>0</v>
      </c>
      <c r="AA243" s="458">
        <f t="shared" si="223"/>
        <v>3411203</v>
      </c>
      <c r="AB243" s="458"/>
      <c r="AC243" s="458"/>
      <c r="AD243" s="458"/>
      <c r="AE243" s="458"/>
      <c r="AF243" s="458"/>
      <c r="AG243" s="458">
        <f t="shared" ref="AG243:AI243" si="224">SUM(AG241:AG242)</f>
        <v>0</v>
      </c>
      <c r="AH243" s="458">
        <f t="shared" si="224"/>
        <v>3411203</v>
      </c>
      <c r="AI243" s="458">
        <f t="shared" si="224"/>
        <v>411203</v>
      </c>
      <c r="AJ243" s="770">
        <f>AI243/AH243*100</f>
        <v>12.054486349830249</v>
      </c>
    </row>
    <row r="244" spans="1:36" ht="14.5" customHeight="1">
      <c r="A244" s="40"/>
      <c r="B244" s="40"/>
      <c r="C244" s="124"/>
      <c r="D244" s="124"/>
      <c r="E244" s="124"/>
      <c r="F244" s="451"/>
      <c r="G244" s="41"/>
      <c r="H244" s="66"/>
      <c r="I244" s="41"/>
      <c r="J244" s="126"/>
      <c r="K244" s="204"/>
      <c r="L244" s="205"/>
      <c r="M244" s="205"/>
      <c r="N244" s="205"/>
      <c r="O244" s="205"/>
      <c r="P244" s="205"/>
      <c r="Q244" s="205"/>
      <c r="R244" s="205"/>
      <c r="S244" s="205"/>
      <c r="T244" s="205"/>
      <c r="U244" s="205"/>
      <c r="V244" s="205"/>
      <c r="W244" s="205"/>
      <c r="X244" s="205"/>
      <c r="Y244" s="205"/>
      <c r="Z244" s="205"/>
      <c r="AA244" s="205"/>
      <c r="AB244" s="205"/>
      <c r="AC244" s="205"/>
      <c r="AD244" s="205"/>
      <c r="AE244" s="205"/>
      <c r="AF244" s="205"/>
      <c r="AG244" s="205"/>
      <c r="AH244" s="205"/>
      <c r="AI244" s="205"/>
      <c r="AJ244" s="747"/>
    </row>
    <row r="245" spans="1:36" ht="14.5" customHeight="1">
      <c r="A245" s="40"/>
      <c r="B245" s="40">
        <v>6</v>
      </c>
      <c r="C245" s="124"/>
      <c r="D245" s="124"/>
      <c r="F245" s="451"/>
      <c r="G245" s="459" t="s">
        <v>59</v>
      </c>
      <c r="H245" s="66"/>
      <c r="I245" s="66"/>
      <c r="J245" s="452"/>
      <c r="K245" s="453"/>
      <c r="L245" s="454"/>
      <c r="M245" s="454"/>
      <c r="N245" s="454"/>
      <c r="O245" s="454"/>
      <c r="P245" s="454"/>
      <c r="Q245" s="454"/>
      <c r="R245" s="454"/>
      <c r="S245" s="454"/>
      <c r="T245" s="454"/>
      <c r="U245" s="454"/>
      <c r="V245" s="454"/>
      <c r="W245" s="454"/>
      <c r="X245" s="454"/>
      <c r="Y245" s="454"/>
      <c r="Z245" s="454"/>
      <c r="AA245" s="454"/>
      <c r="AB245" s="454"/>
      <c r="AC245" s="454"/>
      <c r="AD245" s="454"/>
      <c r="AE245" s="454"/>
      <c r="AF245" s="454"/>
      <c r="AG245" s="454"/>
      <c r="AH245" s="454"/>
      <c r="AI245" s="454"/>
      <c r="AJ245" s="769"/>
    </row>
    <row r="246" spans="1:36" ht="14.5" customHeight="1">
      <c r="A246" s="40"/>
      <c r="B246" s="40"/>
      <c r="C246" s="124">
        <v>1</v>
      </c>
      <c r="D246" s="124"/>
      <c r="E246" s="124"/>
      <c r="F246" s="451"/>
      <c r="G246" s="41"/>
      <c r="H246" s="66" t="s">
        <v>35</v>
      </c>
      <c r="I246" s="66"/>
      <c r="J246" s="452"/>
      <c r="K246" s="453"/>
      <c r="L246" s="454"/>
      <c r="M246" s="454"/>
      <c r="N246" s="454"/>
      <c r="O246" s="454"/>
      <c r="P246" s="454"/>
      <c r="Q246" s="454"/>
      <c r="R246" s="454"/>
      <c r="S246" s="454"/>
      <c r="T246" s="454"/>
      <c r="U246" s="454"/>
      <c r="V246" s="454"/>
      <c r="W246" s="454"/>
      <c r="X246" s="454"/>
      <c r="Y246" s="454"/>
      <c r="Z246" s="454"/>
      <c r="AA246" s="454"/>
      <c r="AB246" s="454"/>
      <c r="AC246" s="454"/>
      <c r="AD246" s="454"/>
      <c r="AE246" s="454"/>
      <c r="AF246" s="454"/>
      <c r="AG246" s="454"/>
      <c r="AH246" s="454"/>
      <c r="AI246" s="454"/>
      <c r="AJ246" s="769"/>
    </row>
    <row r="247" spans="1:36" ht="14.5" customHeight="1">
      <c r="A247" s="40"/>
      <c r="B247" s="40"/>
      <c r="C247" s="124"/>
      <c r="D247" s="124">
        <v>3</v>
      </c>
      <c r="E247" s="124" t="s">
        <v>199</v>
      </c>
      <c r="F247" s="451"/>
      <c r="G247" s="41"/>
      <c r="H247" s="66"/>
      <c r="I247" s="66" t="s">
        <v>116</v>
      </c>
      <c r="J247" s="452">
        <v>10000000</v>
      </c>
      <c r="K247" s="453"/>
      <c r="L247" s="217">
        <f>SUM(J247:K247)</f>
        <v>10000000</v>
      </c>
      <c r="M247" s="217"/>
      <c r="N247" s="217"/>
      <c r="O247" s="217"/>
      <c r="P247" s="217"/>
      <c r="Q247" s="217"/>
      <c r="R247" s="217"/>
      <c r="S247" s="217">
        <f>SUM(M247:R247)</f>
        <v>0</v>
      </c>
      <c r="T247" s="217">
        <f>S247+L247</f>
        <v>10000000</v>
      </c>
      <c r="U247" s="217"/>
      <c r="V247" s="217"/>
      <c r="W247" s="217"/>
      <c r="X247" s="217"/>
      <c r="Y247" s="217"/>
      <c r="Z247" s="217">
        <f>SUM(U247:Y247)</f>
        <v>0</v>
      </c>
      <c r="AA247" s="217">
        <f>Z247+T247</f>
        <v>10000000</v>
      </c>
      <c r="AB247" s="217"/>
      <c r="AC247" s="217"/>
      <c r="AD247" s="217"/>
      <c r="AE247" s="217"/>
      <c r="AF247" s="217"/>
      <c r="AG247" s="217">
        <f t="shared" ref="AG247" si="225">SUM(AB247:AF247)</f>
        <v>0</v>
      </c>
      <c r="AH247" s="217">
        <f t="shared" ref="AH247" si="226">AG247+AA247</f>
        <v>10000000</v>
      </c>
      <c r="AI247" s="217">
        <v>5452951</v>
      </c>
      <c r="AJ247" s="764">
        <f>AI247/AH247*100</f>
        <v>54.529510000000002</v>
      </c>
    </row>
    <row r="248" spans="1:36" ht="14.5" customHeight="1">
      <c r="A248" s="40"/>
      <c r="B248" s="40"/>
      <c r="C248" s="124"/>
      <c r="D248" s="124"/>
      <c r="E248" s="124"/>
      <c r="F248" s="451"/>
      <c r="G248" s="41"/>
      <c r="H248" s="66"/>
      <c r="I248" s="66"/>
      <c r="J248" s="452"/>
      <c r="K248" s="453"/>
      <c r="L248" s="454"/>
      <c r="M248" s="454"/>
      <c r="N248" s="454"/>
      <c r="O248" s="454"/>
      <c r="P248" s="454"/>
      <c r="Q248" s="454"/>
      <c r="R248" s="454"/>
      <c r="S248" s="454"/>
      <c r="T248" s="454"/>
      <c r="U248" s="454"/>
      <c r="V248" s="454"/>
      <c r="W248" s="454"/>
      <c r="X248" s="454"/>
      <c r="Y248" s="454"/>
      <c r="Z248" s="454"/>
      <c r="AA248" s="454"/>
      <c r="AB248" s="454"/>
      <c r="AC248" s="454"/>
      <c r="AD248" s="454"/>
      <c r="AE248" s="454"/>
      <c r="AF248" s="454"/>
      <c r="AG248" s="454"/>
      <c r="AH248" s="454"/>
      <c r="AI248" s="454"/>
      <c r="AJ248" s="769"/>
    </row>
    <row r="249" spans="1:36" ht="14.5" customHeight="1">
      <c r="A249" s="40"/>
      <c r="B249" s="40"/>
      <c r="C249" s="124"/>
      <c r="D249" s="124"/>
      <c r="E249" s="124"/>
      <c r="F249" s="455" t="s">
        <v>38</v>
      </c>
      <c r="G249" s="455"/>
      <c r="H249" s="456"/>
      <c r="I249" s="455"/>
      <c r="J249" s="333">
        <f>SUM(J244:J248)</f>
        <v>10000000</v>
      </c>
      <c r="K249" s="457"/>
      <c r="L249" s="458">
        <f>SUM(L244:L248)</f>
        <v>10000000</v>
      </c>
      <c r="M249" s="458">
        <f t="shared" ref="M249:T249" si="227">SUM(M244:M248)</f>
        <v>0</v>
      </c>
      <c r="N249" s="458">
        <f t="shared" si="227"/>
        <v>0</v>
      </c>
      <c r="O249" s="458">
        <f t="shared" si="227"/>
        <v>0</v>
      </c>
      <c r="P249" s="458">
        <f t="shared" si="227"/>
        <v>0</v>
      </c>
      <c r="Q249" s="458">
        <f t="shared" si="227"/>
        <v>0</v>
      </c>
      <c r="R249" s="458">
        <f t="shared" si="227"/>
        <v>0</v>
      </c>
      <c r="S249" s="458">
        <f t="shared" si="227"/>
        <v>0</v>
      </c>
      <c r="T249" s="458">
        <f t="shared" si="227"/>
        <v>10000000</v>
      </c>
      <c r="U249" s="458"/>
      <c r="V249" s="458"/>
      <c r="W249" s="458"/>
      <c r="X249" s="458"/>
      <c r="Y249" s="458"/>
      <c r="Z249" s="458">
        <f t="shared" ref="Z249:AA249" si="228">SUM(Z244:Z248)</f>
        <v>0</v>
      </c>
      <c r="AA249" s="458">
        <f t="shared" si="228"/>
        <v>10000000</v>
      </c>
      <c r="AB249" s="458"/>
      <c r="AC249" s="458"/>
      <c r="AD249" s="458"/>
      <c r="AE249" s="458"/>
      <c r="AF249" s="458"/>
      <c r="AG249" s="458">
        <f t="shared" ref="AG249:AH249" si="229">SUM(AG244:AG248)</f>
        <v>0</v>
      </c>
      <c r="AH249" s="458">
        <f t="shared" si="229"/>
        <v>10000000</v>
      </c>
      <c r="AI249" s="458">
        <f t="shared" ref="AI249" si="230">SUM(AI244:AI248)</f>
        <v>5452951</v>
      </c>
      <c r="AJ249" s="770">
        <f>AI249/AH249*100</f>
        <v>54.529510000000002</v>
      </c>
    </row>
    <row r="250" spans="1:36" ht="7.5" customHeight="1">
      <c r="A250" s="40"/>
      <c r="B250" s="40"/>
      <c r="C250" s="124"/>
      <c r="D250" s="124"/>
      <c r="E250" s="124"/>
      <c r="F250" s="417"/>
      <c r="G250" s="417"/>
      <c r="H250" s="418"/>
      <c r="I250" s="417"/>
      <c r="J250" s="126"/>
      <c r="K250" s="204"/>
      <c r="L250" s="205"/>
      <c r="M250" s="205"/>
      <c r="N250" s="205"/>
      <c r="O250" s="205"/>
      <c r="P250" s="205"/>
      <c r="Q250" s="205"/>
      <c r="R250" s="205"/>
      <c r="S250" s="205"/>
      <c r="T250" s="205"/>
      <c r="U250" s="205"/>
      <c r="V250" s="205"/>
      <c r="W250" s="205"/>
      <c r="X250" s="205"/>
      <c r="Y250" s="205"/>
      <c r="Z250" s="205"/>
      <c r="AA250" s="205"/>
      <c r="AB250" s="205"/>
      <c r="AC250" s="205"/>
      <c r="AD250" s="205"/>
      <c r="AE250" s="205"/>
      <c r="AF250" s="205"/>
      <c r="AG250" s="205"/>
      <c r="AH250" s="205"/>
      <c r="AI250" s="205"/>
      <c r="AJ250" s="747"/>
    </row>
    <row r="251" spans="1:36" ht="14.5" customHeight="1">
      <c r="A251" s="40"/>
      <c r="B251" s="40"/>
      <c r="C251" s="124"/>
      <c r="D251" s="124"/>
      <c r="E251" s="124"/>
      <c r="F251" s="413" t="s">
        <v>37</v>
      </c>
      <c r="G251" s="413"/>
      <c r="H251" s="414"/>
      <c r="I251" s="413"/>
      <c r="J251" s="460">
        <f>SUM(J216:J249)/2</f>
        <v>70500000</v>
      </c>
      <c r="K251" s="461"/>
      <c r="L251" s="460">
        <f>SUM(L216:L249)/2</f>
        <v>70500000</v>
      </c>
      <c r="M251" s="460">
        <f t="shared" ref="M251:T251" si="231">SUM(M216:M249)/2</f>
        <v>8888372</v>
      </c>
      <c r="N251" s="460">
        <f t="shared" si="231"/>
        <v>0</v>
      </c>
      <c r="O251" s="460">
        <f t="shared" si="231"/>
        <v>0</v>
      </c>
      <c r="P251" s="460">
        <f t="shared" si="231"/>
        <v>0</v>
      </c>
      <c r="Q251" s="460">
        <f t="shared" si="231"/>
        <v>0</v>
      </c>
      <c r="R251" s="460">
        <f t="shared" si="231"/>
        <v>0</v>
      </c>
      <c r="S251" s="460">
        <f t="shared" si="231"/>
        <v>8888372</v>
      </c>
      <c r="T251" s="460">
        <f t="shared" si="231"/>
        <v>79388372</v>
      </c>
      <c r="U251" s="460"/>
      <c r="V251" s="460"/>
      <c r="W251" s="460"/>
      <c r="X251" s="460"/>
      <c r="Y251" s="460"/>
      <c r="Z251" s="460">
        <f t="shared" ref="Z251:AA251" si="232">SUM(Z216:Z249)/2</f>
        <v>0</v>
      </c>
      <c r="AA251" s="460">
        <f t="shared" si="232"/>
        <v>79388372</v>
      </c>
      <c r="AB251" s="460"/>
      <c r="AC251" s="460"/>
      <c r="AD251" s="460"/>
      <c r="AE251" s="460">
        <f t="shared" ref="AE251:AH251" si="233">SUM(AE216:AE249)/2</f>
        <v>-802953</v>
      </c>
      <c r="AF251" s="460"/>
      <c r="AG251" s="460">
        <f t="shared" si="233"/>
        <v>-802953</v>
      </c>
      <c r="AH251" s="460">
        <f t="shared" si="233"/>
        <v>78585419</v>
      </c>
      <c r="AI251" s="460">
        <f t="shared" ref="AI251" si="234">SUM(AI216:AI249)/2</f>
        <v>39388997</v>
      </c>
      <c r="AJ251" s="771">
        <f>AI251/AH251*100</f>
        <v>50.122525910309136</v>
      </c>
    </row>
    <row r="252" spans="1:36" ht="14.5" customHeight="1">
      <c r="A252" s="40"/>
      <c r="B252" s="40"/>
      <c r="C252" s="124"/>
      <c r="D252" s="124"/>
      <c r="E252" s="124"/>
      <c r="F252" s="451"/>
      <c r="G252" s="41"/>
      <c r="H252" s="66"/>
      <c r="I252" s="41"/>
      <c r="J252" s="126"/>
      <c r="K252" s="204"/>
      <c r="L252" s="205"/>
      <c r="M252" s="205"/>
      <c r="N252" s="205"/>
      <c r="O252" s="205"/>
      <c r="P252" s="205"/>
      <c r="Q252" s="205"/>
      <c r="R252" s="205"/>
      <c r="S252" s="205"/>
      <c r="T252" s="205"/>
      <c r="U252" s="205"/>
      <c r="V252" s="205"/>
      <c r="W252" s="205"/>
      <c r="X252" s="205"/>
      <c r="Y252" s="205"/>
      <c r="Z252" s="205"/>
      <c r="AA252" s="205"/>
      <c r="AB252" s="205"/>
      <c r="AC252" s="205"/>
      <c r="AD252" s="205"/>
      <c r="AE252" s="205"/>
      <c r="AF252" s="205"/>
      <c r="AG252" s="205"/>
      <c r="AH252" s="205"/>
      <c r="AI252" s="205"/>
      <c r="AJ252" s="747"/>
    </row>
    <row r="253" spans="1:36" ht="14.5" customHeight="1">
      <c r="A253" s="40">
        <v>4</v>
      </c>
      <c r="B253" s="40"/>
      <c r="C253" s="124"/>
      <c r="D253" s="124"/>
      <c r="E253" s="124"/>
      <c r="F253" s="451" t="s">
        <v>43</v>
      </c>
      <c r="G253" s="41"/>
      <c r="H253" s="66"/>
      <c r="I253" s="66"/>
      <c r="J253" s="452"/>
      <c r="K253" s="453"/>
      <c r="L253" s="454"/>
      <c r="M253" s="454"/>
      <c r="N253" s="454"/>
      <c r="O253" s="454"/>
      <c r="P253" s="454"/>
      <c r="Q253" s="454"/>
      <c r="R253" s="454"/>
      <c r="S253" s="454"/>
      <c r="T253" s="454"/>
      <c r="U253" s="454"/>
      <c r="V253" s="454"/>
      <c r="W253" s="454"/>
      <c r="X253" s="454"/>
      <c r="Y253" s="454"/>
      <c r="Z253" s="454"/>
      <c r="AA253" s="454"/>
      <c r="AB253" s="454"/>
      <c r="AC253" s="454"/>
      <c r="AD253" s="454"/>
      <c r="AE253" s="454"/>
      <c r="AF253" s="454"/>
      <c r="AG253" s="454"/>
      <c r="AH253" s="454"/>
      <c r="AI253" s="454"/>
      <c r="AJ253" s="769"/>
    </row>
    <row r="254" spans="1:36" ht="14.5" customHeight="1">
      <c r="A254" s="40"/>
      <c r="B254" s="40"/>
      <c r="C254" s="124"/>
      <c r="D254" s="124"/>
      <c r="F254" s="451"/>
      <c r="G254" s="459" t="s">
        <v>44</v>
      </c>
      <c r="H254" s="66"/>
      <c r="I254" s="66"/>
      <c r="J254" s="452"/>
      <c r="K254" s="453"/>
      <c r="L254" s="454"/>
      <c r="M254" s="454"/>
      <c r="N254" s="454"/>
      <c r="O254" s="454"/>
      <c r="P254" s="454"/>
      <c r="Q254" s="454"/>
      <c r="R254" s="454"/>
      <c r="S254" s="454"/>
      <c r="T254" s="454"/>
      <c r="U254" s="454"/>
      <c r="V254" s="454"/>
      <c r="W254" s="454"/>
      <c r="X254" s="454"/>
      <c r="Y254" s="454"/>
      <c r="Z254" s="454"/>
      <c r="AA254" s="454"/>
      <c r="AB254" s="454"/>
      <c r="AC254" s="454"/>
      <c r="AD254" s="454"/>
      <c r="AE254" s="454"/>
      <c r="AF254" s="454"/>
      <c r="AG254" s="454"/>
      <c r="AH254" s="454"/>
      <c r="AI254" s="454"/>
      <c r="AJ254" s="769"/>
    </row>
    <row r="255" spans="1:36" ht="14.5" customHeight="1">
      <c r="A255" s="40"/>
      <c r="B255" s="40"/>
      <c r="C255" s="124">
        <v>1</v>
      </c>
      <c r="D255" s="124"/>
      <c r="E255" s="124"/>
      <c r="F255" s="451"/>
      <c r="G255" s="41"/>
      <c r="H255" s="66" t="s">
        <v>35</v>
      </c>
      <c r="I255" s="66"/>
      <c r="J255" s="452"/>
      <c r="K255" s="453"/>
      <c r="L255" s="454"/>
      <c r="M255" s="454"/>
      <c r="N255" s="454"/>
      <c r="O255" s="454"/>
      <c r="P255" s="454"/>
      <c r="Q255" s="454"/>
      <c r="R255" s="454"/>
      <c r="S255" s="454"/>
      <c r="T255" s="454"/>
      <c r="U255" s="454"/>
      <c r="V255" s="454"/>
      <c r="W255" s="454"/>
      <c r="X255" s="454"/>
      <c r="Y255" s="454"/>
      <c r="Z255" s="454"/>
      <c r="AA255" s="454"/>
      <c r="AB255" s="454"/>
      <c r="AC255" s="454"/>
      <c r="AD255" s="454"/>
      <c r="AE255" s="454"/>
      <c r="AF255" s="454"/>
      <c r="AG255" s="454"/>
      <c r="AH255" s="454"/>
      <c r="AI255" s="454"/>
      <c r="AJ255" s="769"/>
    </row>
    <row r="256" spans="1:36" ht="14.5" customHeight="1">
      <c r="A256" s="40"/>
      <c r="B256" s="40"/>
      <c r="C256" s="124"/>
      <c r="D256" s="124">
        <v>3</v>
      </c>
      <c r="E256" s="124" t="s">
        <v>199</v>
      </c>
      <c r="F256" s="451"/>
      <c r="G256" s="41"/>
      <c r="H256" s="66"/>
      <c r="I256" s="66" t="s">
        <v>116</v>
      </c>
      <c r="J256" s="452">
        <v>4100000</v>
      </c>
      <c r="K256" s="453"/>
      <c r="L256" s="217">
        <f>SUM(J256:K256)</f>
        <v>4100000</v>
      </c>
      <c r="M256" s="217">
        <v>206037</v>
      </c>
      <c r="N256" s="217"/>
      <c r="O256" s="217"/>
      <c r="P256" s="217"/>
      <c r="Q256" s="217"/>
      <c r="R256" s="217"/>
      <c r="S256" s="217">
        <f>SUM(M256:R256)</f>
        <v>206037</v>
      </c>
      <c r="T256" s="217">
        <f>S256+L256</f>
        <v>4306037</v>
      </c>
      <c r="U256" s="217"/>
      <c r="V256" s="217"/>
      <c r="W256" s="217"/>
      <c r="X256" s="217"/>
      <c r="Y256" s="217"/>
      <c r="Z256" s="217">
        <f>SUM(U256:Y256)</f>
        <v>0</v>
      </c>
      <c r="AA256" s="217">
        <f>Z256+T256</f>
        <v>4306037</v>
      </c>
      <c r="AB256" s="217"/>
      <c r="AC256" s="217"/>
      <c r="AD256" s="217"/>
      <c r="AE256" s="217">
        <v>112193</v>
      </c>
      <c r="AF256" s="217"/>
      <c r="AG256" s="217">
        <f t="shared" ref="AG256" si="235">SUM(AB256:AF256)</f>
        <v>112193</v>
      </c>
      <c r="AH256" s="217">
        <f t="shared" ref="AH256" si="236">AG256+AA256</f>
        <v>4418230</v>
      </c>
      <c r="AI256" s="217">
        <v>4418230</v>
      </c>
      <c r="AJ256" s="764">
        <f>AI256/AH256*100</f>
        <v>100</v>
      </c>
    </row>
    <row r="257" spans="1:36" ht="7.5" customHeight="1">
      <c r="A257" s="40"/>
      <c r="B257" s="40"/>
      <c r="C257" s="124"/>
      <c r="D257" s="124"/>
      <c r="E257" s="124"/>
      <c r="F257" s="451"/>
      <c r="G257" s="41"/>
      <c r="H257" s="66"/>
      <c r="I257" s="66"/>
      <c r="J257" s="452"/>
      <c r="K257" s="453"/>
      <c r="L257" s="454"/>
      <c r="M257" s="454"/>
      <c r="N257" s="454"/>
      <c r="O257" s="454"/>
      <c r="P257" s="454"/>
      <c r="Q257" s="454"/>
      <c r="R257" s="454"/>
      <c r="S257" s="454"/>
      <c r="T257" s="454"/>
      <c r="U257" s="454"/>
      <c r="V257" s="454"/>
      <c r="W257" s="454"/>
      <c r="X257" s="454"/>
      <c r="Y257" s="454"/>
      <c r="Z257" s="454"/>
      <c r="AA257" s="454"/>
      <c r="AB257" s="454"/>
      <c r="AC257" s="454"/>
      <c r="AD257" s="454"/>
      <c r="AE257" s="454"/>
      <c r="AF257" s="454"/>
      <c r="AG257" s="454"/>
      <c r="AH257" s="454"/>
      <c r="AI257" s="454"/>
      <c r="AJ257" s="769"/>
    </row>
    <row r="258" spans="1:36" ht="14.5" customHeight="1">
      <c r="A258" s="40"/>
      <c r="B258" s="40"/>
      <c r="C258" s="124"/>
      <c r="D258" s="124"/>
      <c r="E258" s="124"/>
      <c r="F258" s="413" t="s">
        <v>37</v>
      </c>
      <c r="G258" s="413"/>
      <c r="H258" s="414"/>
      <c r="I258" s="413"/>
      <c r="J258" s="460">
        <f>SUM(J256:J257)</f>
        <v>4100000</v>
      </c>
      <c r="K258" s="461"/>
      <c r="L258" s="460">
        <f>SUM(L256:L257)</f>
        <v>4100000</v>
      </c>
      <c r="M258" s="460">
        <f>SUM(M256:M257)</f>
        <v>206037</v>
      </c>
      <c r="N258" s="460">
        <f t="shared" ref="N258:T258" si="237">SUM(N256:N257)</f>
        <v>0</v>
      </c>
      <c r="O258" s="460">
        <f t="shared" si="237"/>
        <v>0</v>
      </c>
      <c r="P258" s="460">
        <f t="shared" si="237"/>
        <v>0</v>
      </c>
      <c r="Q258" s="460">
        <f t="shared" si="237"/>
        <v>0</v>
      </c>
      <c r="R258" s="460">
        <f t="shared" si="237"/>
        <v>0</v>
      </c>
      <c r="S258" s="460">
        <f t="shared" si="237"/>
        <v>206037</v>
      </c>
      <c r="T258" s="460">
        <f t="shared" si="237"/>
        <v>4306037</v>
      </c>
      <c r="U258" s="460"/>
      <c r="V258" s="460"/>
      <c r="W258" s="460"/>
      <c r="X258" s="460"/>
      <c r="Y258" s="460"/>
      <c r="Z258" s="460">
        <f t="shared" ref="Z258:AA258" si="238">SUM(Z256:Z257)</f>
        <v>0</v>
      </c>
      <c r="AA258" s="460">
        <f t="shared" si="238"/>
        <v>4306037</v>
      </c>
      <c r="AB258" s="460"/>
      <c r="AC258" s="460"/>
      <c r="AD258" s="460"/>
      <c r="AE258" s="460">
        <f t="shared" ref="AE258:AI258" si="239">SUM(AE256:AE257)</f>
        <v>112193</v>
      </c>
      <c r="AF258" s="460"/>
      <c r="AG258" s="460">
        <f t="shared" si="239"/>
        <v>112193</v>
      </c>
      <c r="AH258" s="460">
        <f t="shared" si="239"/>
        <v>4418230</v>
      </c>
      <c r="AI258" s="460">
        <f t="shared" si="239"/>
        <v>4418230</v>
      </c>
      <c r="AJ258" s="770">
        <f>AI258/AH258*100</f>
        <v>100</v>
      </c>
    </row>
    <row r="259" spans="1:36" ht="8" customHeight="1">
      <c r="A259" s="40"/>
      <c r="B259" s="40"/>
      <c r="C259" s="124"/>
      <c r="D259" s="124"/>
      <c r="E259" s="124"/>
      <c r="F259" s="41"/>
      <c r="G259" s="41"/>
      <c r="H259" s="66"/>
      <c r="I259" s="66"/>
      <c r="J259" s="452"/>
      <c r="K259" s="453"/>
      <c r="L259" s="454"/>
      <c r="M259" s="454"/>
      <c r="N259" s="454"/>
      <c r="O259" s="454"/>
      <c r="P259" s="454"/>
      <c r="Q259" s="454"/>
      <c r="R259" s="454"/>
      <c r="S259" s="454"/>
      <c r="T259" s="454"/>
      <c r="U259" s="454"/>
      <c r="V259" s="454"/>
      <c r="W259" s="454"/>
      <c r="X259" s="454"/>
      <c r="Y259" s="454"/>
      <c r="Z259" s="454"/>
      <c r="AA259" s="454"/>
      <c r="AB259" s="454"/>
      <c r="AC259" s="454"/>
      <c r="AD259" s="454"/>
      <c r="AE259" s="454"/>
      <c r="AF259" s="454"/>
      <c r="AG259" s="454"/>
      <c r="AH259" s="454"/>
      <c r="AI259" s="454"/>
      <c r="AJ259" s="769"/>
    </row>
    <row r="260" spans="1:36" ht="14.5" customHeight="1">
      <c r="A260" s="40">
        <v>5</v>
      </c>
      <c r="B260" s="40"/>
      <c r="C260" s="124"/>
      <c r="D260" s="124"/>
      <c r="F260" s="451" t="s">
        <v>45</v>
      </c>
      <c r="G260" s="41"/>
      <c r="H260" s="66"/>
      <c r="I260" s="66"/>
      <c r="J260" s="452"/>
      <c r="K260" s="453"/>
      <c r="L260" s="454"/>
      <c r="M260" s="454"/>
      <c r="N260" s="454"/>
      <c r="O260" s="454"/>
      <c r="P260" s="454"/>
      <c r="Q260" s="454"/>
      <c r="R260" s="454"/>
      <c r="S260" s="454"/>
      <c r="T260" s="454"/>
      <c r="U260" s="454"/>
      <c r="V260" s="454"/>
      <c r="W260" s="454"/>
      <c r="X260" s="454"/>
      <c r="Y260" s="454"/>
      <c r="Z260" s="454"/>
      <c r="AA260" s="454"/>
      <c r="AB260" s="454"/>
      <c r="AC260" s="454"/>
      <c r="AD260" s="454"/>
      <c r="AE260" s="454"/>
      <c r="AF260" s="454"/>
      <c r="AG260" s="454"/>
      <c r="AH260" s="454"/>
      <c r="AI260" s="454"/>
      <c r="AJ260" s="769"/>
    </row>
    <row r="261" spans="1:36" ht="14.5" customHeight="1">
      <c r="A261" s="40"/>
      <c r="B261" s="40">
        <v>1</v>
      </c>
      <c r="C261" s="124"/>
      <c r="D261" s="124"/>
      <c r="E261" s="124"/>
      <c r="F261" s="451"/>
      <c r="G261" s="459" t="s">
        <v>22</v>
      </c>
      <c r="H261" s="66"/>
      <c r="I261" s="66"/>
      <c r="J261" s="452"/>
      <c r="K261" s="453"/>
      <c r="L261" s="454"/>
      <c r="M261" s="454"/>
      <c r="N261" s="454"/>
      <c r="O261" s="454"/>
      <c r="P261" s="454"/>
      <c r="Q261" s="454"/>
      <c r="R261" s="454"/>
      <c r="S261" s="454"/>
      <c r="T261" s="454"/>
      <c r="U261" s="454"/>
      <c r="V261" s="454"/>
      <c r="W261" s="454"/>
      <c r="X261" s="454"/>
      <c r="Y261" s="454"/>
      <c r="Z261" s="454"/>
      <c r="AA261" s="454"/>
      <c r="AB261" s="454"/>
      <c r="AC261" s="454"/>
      <c r="AD261" s="454"/>
      <c r="AE261" s="454"/>
      <c r="AF261" s="454"/>
      <c r="AG261" s="454"/>
      <c r="AH261" s="454"/>
      <c r="AI261" s="454"/>
      <c r="AJ261" s="769"/>
    </row>
    <row r="262" spans="1:36" ht="14.5" customHeight="1">
      <c r="A262" s="40"/>
      <c r="B262" s="40"/>
      <c r="C262" s="124">
        <v>1</v>
      </c>
      <c r="D262" s="124"/>
      <c r="E262" s="124"/>
      <c r="F262" s="451"/>
      <c r="G262" s="41"/>
      <c r="H262" s="66" t="s">
        <v>35</v>
      </c>
      <c r="I262" s="66"/>
      <c r="J262" s="452"/>
      <c r="K262" s="453"/>
      <c r="L262" s="454"/>
      <c r="M262" s="454"/>
      <c r="N262" s="454"/>
      <c r="O262" s="454"/>
      <c r="P262" s="454"/>
      <c r="Q262" s="454"/>
      <c r="R262" s="454"/>
      <c r="S262" s="454"/>
      <c r="T262" s="454"/>
      <c r="U262" s="454"/>
      <c r="V262" s="454"/>
      <c r="W262" s="454"/>
      <c r="X262" s="454"/>
      <c r="Y262" s="454"/>
      <c r="Z262" s="454"/>
      <c r="AA262" s="454"/>
      <c r="AB262" s="454"/>
      <c r="AC262" s="454"/>
      <c r="AD262" s="454"/>
      <c r="AE262" s="454"/>
      <c r="AF262" s="454"/>
      <c r="AG262" s="454"/>
      <c r="AH262" s="454"/>
      <c r="AI262" s="454"/>
      <c r="AJ262" s="769"/>
    </row>
    <row r="263" spans="1:36" ht="14.5" customHeight="1">
      <c r="A263" s="40"/>
      <c r="B263" s="40"/>
      <c r="C263" s="124"/>
      <c r="D263" s="124">
        <v>3</v>
      </c>
      <c r="E263" s="124" t="s">
        <v>199</v>
      </c>
      <c r="F263" s="451"/>
      <c r="G263" s="41"/>
      <c r="H263" s="66"/>
      <c r="I263" s="66" t="s">
        <v>116</v>
      </c>
      <c r="J263" s="452">
        <v>160500000</v>
      </c>
      <c r="K263" s="453"/>
      <c r="L263" s="217">
        <f>SUM(J263:K263)</f>
        <v>160500000</v>
      </c>
      <c r="M263" s="217">
        <v>9093996</v>
      </c>
      <c r="N263" s="217"/>
      <c r="O263" s="217"/>
      <c r="P263" s="217"/>
      <c r="Q263" s="217"/>
      <c r="R263" s="217"/>
      <c r="S263" s="217">
        <f>SUM(M263:R263)</f>
        <v>9093996</v>
      </c>
      <c r="T263" s="217">
        <f>S263+L263</f>
        <v>169593996</v>
      </c>
      <c r="U263" s="217"/>
      <c r="V263" s="217"/>
      <c r="W263" s="217"/>
      <c r="X263" s="217"/>
      <c r="Y263" s="217"/>
      <c r="Z263" s="217">
        <f>SUM(U263:Y263)</f>
        <v>0</v>
      </c>
      <c r="AA263" s="217">
        <f>Z263+T263</f>
        <v>169593996</v>
      </c>
      <c r="AB263" s="217"/>
      <c r="AC263" s="217"/>
      <c r="AD263" s="217"/>
      <c r="AE263" s="217">
        <v>-112193</v>
      </c>
      <c r="AF263" s="217"/>
      <c r="AG263" s="217">
        <f t="shared" ref="AG263" si="240">SUM(AB263:AF263)</f>
        <v>-112193</v>
      </c>
      <c r="AH263" s="217">
        <f t="shared" ref="AH263" si="241">AG263+AA263</f>
        <v>169481803</v>
      </c>
      <c r="AI263" s="217">
        <v>152033094</v>
      </c>
      <c r="AJ263" s="764">
        <f>AI263/AH263*100</f>
        <v>89.704671126256542</v>
      </c>
    </row>
    <row r="264" spans="1:36" ht="14">
      <c r="A264" s="40"/>
      <c r="B264" s="40"/>
      <c r="C264" s="124"/>
      <c r="D264" s="124"/>
      <c r="E264" s="124"/>
      <c r="F264" s="451"/>
      <c r="G264" s="41"/>
      <c r="H264" s="66"/>
      <c r="I264" s="66"/>
      <c r="J264" s="452"/>
      <c r="K264" s="453"/>
      <c r="L264" s="454"/>
      <c r="M264" s="454"/>
      <c r="N264" s="454"/>
      <c r="O264" s="454"/>
      <c r="P264" s="454"/>
      <c r="Q264" s="454"/>
      <c r="R264" s="454"/>
      <c r="S264" s="454"/>
      <c r="T264" s="454"/>
      <c r="U264" s="454"/>
      <c r="V264" s="454"/>
      <c r="W264" s="454"/>
      <c r="X264" s="454"/>
      <c r="Y264" s="454"/>
      <c r="Z264" s="454"/>
      <c r="AA264" s="454"/>
      <c r="AB264" s="454"/>
      <c r="AC264" s="454"/>
      <c r="AD264" s="454"/>
      <c r="AE264" s="454"/>
      <c r="AF264" s="454"/>
      <c r="AG264" s="454"/>
      <c r="AH264" s="454"/>
      <c r="AI264" s="454"/>
      <c r="AJ264" s="769"/>
    </row>
    <row r="265" spans="1:36" ht="14.5" customHeight="1">
      <c r="A265" s="40"/>
      <c r="B265" s="40"/>
      <c r="C265" s="124"/>
      <c r="D265" s="124"/>
      <c r="E265" s="124"/>
      <c r="F265" s="455" t="s">
        <v>38</v>
      </c>
      <c r="G265" s="455"/>
      <c r="H265" s="456"/>
      <c r="I265" s="455"/>
      <c r="J265" s="333">
        <f>SUM(J259:J264)</f>
        <v>160500000</v>
      </c>
      <c r="K265" s="457"/>
      <c r="L265" s="458">
        <f>SUM(L259:L264)</f>
        <v>160500000</v>
      </c>
      <c r="M265" s="458">
        <f>SUM(M263:M264)</f>
        <v>9093996</v>
      </c>
      <c r="N265" s="458">
        <f t="shared" ref="N265:T265" si="242">SUM(N263:N264)</f>
        <v>0</v>
      </c>
      <c r="O265" s="458">
        <f t="shared" si="242"/>
        <v>0</v>
      </c>
      <c r="P265" s="458">
        <f t="shared" si="242"/>
        <v>0</v>
      </c>
      <c r="Q265" s="458">
        <f t="shared" si="242"/>
        <v>0</v>
      </c>
      <c r="R265" s="458">
        <f t="shared" si="242"/>
        <v>0</v>
      </c>
      <c r="S265" s="458">
        <f t="shared" si="242"/>
        <v>9093996</v>
      </c>
      <c r="T265" s="458">
        <f t="shared" si="242"/>
        <v>169593996</v>
      </c>
      <c r="U265" s="458"/>
      <c r="V265" s="458"/>
      <c r="W265" s="458"/>
      <c r="X265" s="458"/>
      <c r="Y265" s="458"/>
      <c r="Z265" s="458">
        <f t="shared" ref="Z265:AA265" si="243">SUM(Z263:Z264)</f>
        <v>0</v>
      </c>
      <c r="AA265" s="458">
        <f t="shared" si="243"/>
        <v>169593996</v>
      </c>
      <c r="AB265" s="458"/>
      <c r="AC265" s="458"/>
      <c r="AD265" s="458"/>
      <c r="AE265" s="458">
        <f t="shared" ref="AE265:AI265" si="244">SUM(AE263:AE264)</f>
        <v>-112193</v>
      </c>
      <c r="AF265" s="458"/>
      <c r="AG265" s="458">
        <f t="shared" si="244"/>
        <v>-112193</v>
      </c>
      <c r="AH265" s="458">
        <f t="shared" si="244"/>
        <v>169481803</v>
      </c>
      <c r="AI265" s="458">
        <f t="shared" si="244"/>
        <v>152033094</v>
      </c>
      <c r="AJ265" s="770">
        <f>AI265/AH265*100</f>
        <v>89.704671126256542</v>
      </c>
    </row>
    <row r="266" spans="1:36" ht="14.5" customHeight="1">
      <c r="A266" s="40"/>
      <c r="B266" s="40"/>
      <c r="C266" s="124"/>
      <c r="D266" s="124"/>
      <c r="E266" s="124"/>
      <c r="F266" s="417"/>
      <c r="G266" s="417"/>
      <c r="H266" s="418"/>
      <c r="I266" s="417"/>
      <c r="J266" s="126"/>
      <c r="K266" s="204"/>
      <c r="L266" s="205"/>
      <c r="M266" s="205"/>
      <c r="N266" s="205"/>
      <c r="O266" s="205"/>
      <c r="P266" s="205"/>
      <c r="Q266" s="205"/>
      <c r="R266" s="205"/>
      <c r="S266" s="205"/>
      <c r="T266" s="205"/>
      <c r="U266" s="205"/>
      <c r="V266" s="205"/>
      <c r="W266" s="205"/>
      <c r="X266" s="205"/>
      <c r="Y266" s="205"/>
      <c r="Z266" s="205"/>
      <c r="AA266" s="205"/>
      <c r="AB266" s="205"/>
      <c r="AC266" s="205"/>
      <c r="AD266" s="205"/>
      <c r="AE266" s="205"/>
      <c r="AF266" s="205"/>
      <c r="AG266" s="205"/>
      <c r="AH266" s="205"/>
      <c r="AI266" s="205"/>
      <c r="AJ266" s="747"/>
    </row>
    <row r="267" spans="1:36" ht="14.5" customHeight="1">
      <c r="A267" s="40"/>
      <c r="B267" s="40">
        <v>2</v>
      </c>
      <c r="C267" s="124"/>
      <c r="D267" s="124"/>
      <c r="E267" s="124"/>
      <c r="F267" s="451"/>
      <c r="G267" s="459" t="s">
        <v>23</v>
      </c>
      <c r="H267" s="66"/>
      <c r="I267" s="66"/>
      <c r="J267" s="452"/>
      <c r="K267" s="453"/>
      <c r="L267" s="454"/>
      <c r="M267" s="454"/>
      <c r="N267" s="454"/>
      <c r="O267" s="454"/>
      <c r="P267" s="454"/>
      <c r="Q267" s="454"/>
      <c r="R267" s="454"/>
      <c r="S267" s="454"/>
      <c r="T267" s="454"/>
      <c r="U267" s="454"/>
      <c r="V267" s="454"/>
      <c r="W267" s="454"/>
      <c r="X267" s="454"/>
      <c r="Y267" s="454"/>
      <c r="Z267" s="454"/>
      <c r="AA267" s="454"/>
      <c r="AB267" s="454"/>
      <c r="AC267" s="454"/>
      <c r="AD267" s="454"/>
      <c r="AE267" s="454"/>
      <c r="AF267" s="454"/>
      <c r="AG267" s="454"/>
      <c r="AH267" s="454"/>
      <c r="AI267" s="454"/>
      <c r="AJ267" s="769"/>
    </row>
    <row r="268" spans="1:36" ht="14.5" customHeight="1">
      <c r="A268" s="40"/>
      <c r="B268" s="40"/>
      <c r="C268" s="124">
        <v>1</v>
      </c>
      <c r="D268" s="124"/>
      <c r="E268" s="124"/>
      <c r="F268" s="451"/>
      <c r="G268" s="41"/>
      <c r="H268" s="66" t="s">
        <v>35</v>
      </c>
      <c r="I268" s="66"/>
      <c r="J268" s="452"/>
      <c r="K268" s="453"/>
      <c r="L268" s="454"/>
      <c r="M268" s="454"/>
      <c r="N268" s="454"/>
      <c r="O268" s="454"/>
      <c r="P268" s="454"/>
      <c r="Q268" s="454"/>
      <c r="R268" s="454"/>
      <c r="S268" s="454"/>
      <c r="T268" s="454"/>
      <c r="U268" s="454"/>
      <c r="V268" s="454"/>
      <c r="W268" s="454"/>
      <c r="X268" s="454"/>
      <c r="Y268" s="454"/>
      <c r="Z268" s="454"/>
      <c r="AA268" s="454"/>
      <c r="AB268" s="454"/>
      <c r="AC268" s="454"/>
      <c r="AD268" s="454"/>
      <c r="AE268" s="454"/>
      <c r="AF268" s="454"/>
      <c r="AG268" s="454"/>
      <c r="AH268" s="454"/>
      <c r="AI268" s="454"/>
      <c r="AJ268" s="769"/>
    </row>
    <row r="269" spans="1:36" ht="14.5" customHeight="1">
      <c r="A269" s="40"/>
      <c r="B269" s="40"/>
      <c r="C269" s="124"/>
      <c r="D269" s="124">
        <v>3</v>
      </c>
      <c r="E269" s="124" t="s">
        <v>199</v>
      </c>
      <c r="F269" s="451"/>
      <c r="G269" s="41"/>
      <c r="H269" s="66"/>
      <c r="I269" s="66" t="s">
        <v>116</v>
      </c>
      <c r="J269" s="452">
        <v>5000000</v>
      </c>
      <c r="K269" s="453"/>
      <c r="L269" s="217">
        <f>SUM(J269:K269)</f>
        <v>5000000</v>
      </c>
      <c r="M269" s="217">
        <v>430385</v>
      </c>
      <c r="N269" s="217"/>
      <c r="O269" s="217"/>
      <c r="P269" s="217"/>
      <c r="Q269" s="217"/>
      <c r="R269" s="217"/>
      <c r="S269" s="217">
        <f>SUM(M269:R269)</f>
        <v>430385</v>
      </c>
      <c r="T269" s="217">
        <f>S269+L269</f>
        <v>5430385</v>
      </c>
      <c r="U269" s="217"/>
      <c r="V269" s="217"/>
      <c r="W269" s="217"/>
      <c r="X269" s="217"/>
      <c r="Y269" s="217"/>
      <c r="Z269" s="217">
        <f>SUM(U269:Y269)</f>
        <v>0</v>
      </c>
      <c r="AA269" s="217">
        <f>Z269+T269</f>
        <v>5430385</v>
      </c>
      <c r="AB269" s="217"/>
      <c r="AC269" s="217"/>
      <c r="AD269" s="217"/>
      <c r="AE269" s="217"/>
      <c r="AF269" s="217"/>
      <c r="AG269" s="217">
        <f t="shared" ref="AG269" si="245">SUM(AB269:AF269)</f>
        <v>0</v>
      </c>
      <c r="AH269" s="217">
        <f t="shared" ref="AH269" si="246">AG269+AA269</f>
        <v>5430385</v>
      </c>
      <c r="AI269" s="217">
        <v>1439330</v>
      </c>
      <c r="AJ269" s="764">
        <f>AI269/AH269*100</f>
        <v>26.505118881994555</v>
      </c>
    </row>
    <row r="270" spans="1:36" ht="6.5" customHeight="1">
      <c r="A270" s="40"/>
      <c r="B270" s="40"/>
      <c r="C270" s="124"/>
      <c r="D270" s="124"/>
      <c r="E270" s="124"/>
      <c r="F270" s="451"/>
      <c r="G270" s="41"/>
      <c r="H270" s="66"/>
      <c r="I270" s="66"/>
      <c r="J270" s="452"/>
      <c r="K270" s="453"/>
      <c r="L270" s="454"/>
      <c r="M270" s="454"/>
      <c r="N270" s="454"/>
      <c r="O270" s="454"/>
      <c r="P270" s="454"/>
      <c r="Q270" s="454"/>
      <c r="R270" s="454"/>
      <c r="S270" s="454"/>
      <c r="T270" s="454"/>
      <c r="U270" s="454"/>
      <c r="V270" s="454"/>
      <c r="W270" s="454"/>
      <c r="X270" s="454"/>
      <c r="Y270" s="454"/>
      <c r="Z270" s="454"/>
      <c r="AA270" s="454"/>
      <c r="AB270" s="454"/>
      <c r="AC270" s="454"/>
      <c r="AD270" s="454"/>
      <c r="AE270" s="454"/>
      <c r="AF270" s="454"/>
      <c r="AG270" s="454"/>
      <c r="AH270" s="454"/>
      <c r="AI270" s="454"/>
      <c r="AJ270" s="769"/>
    </row>
    <row r="271" spans="1:36" ht="14.5" customHeight="1">
      <c r="A271" s="40"/>
      <c r="B271" s="40"/>
      <c r="C271" s="124"/>
      <c r="D271" s="124"/>
      <c r="E271" s="124"/>
      <c r="F271" s="455" t="s">
        <v>38</v>
      </c>
      <c r="G271" s="455"/>
      <c r="H271" s="456"/>
      <c r="I271" s="455"/>
      <c r="J271" s="333">
        <f>SUM(J269:J270)</f>
        <v>5000000</v>
      </c>
      <c r="K271" s="457"/>
      <c r="L271" s="458">
        <f>SUM(L269:L270)</f>
        <v>5000000</v>
      </c>
      <c r="M271" s="458">
        <f>SUM(M269:M270)</f>
        <v>430385</v>
      </c>
      <c r="N271" s="458">
        <f t="shared" ref="N271:T271" si="247">SUM(N269:N270)</f>
        <v>0</v>
      </c>
      <c r="O271" s="458">
        <f t="shared" si="247"/>
        <v>0</v>
      </c>
      <c r="P271" s="458">
        <f t="shared" si="247"/>
        <v>0</v>
      </c>
      <c r="Q271" s="458">
        <f t="shared" si="247"/>
        <v>0</v>
      </c>
      <c r="R271" s="458">
        <f t="shared" si="247"/>
        <v>0</v>
      </c>
      <c r="S271" s="458">
        <f t="shared" si="247"/>
        <v>430385</v>
      </c>
      <c r="T271" s="458">
        <f t="shared" si="247"/>
        <v>5430385</v>
      </c>
      <c r="U271" s="458"/>
      <c r="V271" s="458"/>
      <c r="W271" s="458"/>
      <c r="X271" s="458"/>
      <c r="Y271" s="458"/>
      <c r="Z271" s="458">
        <f t="shared" ref="Z271:AA271" si="248">SUM(Z269:Z270)</f>
        <v>0</v>
      </c>
      <c r="AA271" s="458">
        <f t="shared" si="248"/>
        <v>5430385</v>
      </c>
      <c r="AB271" s="458"/>
      <c r="AC271" s="458"/>
      <c r="AD271" s="458"/>
      <c r="AE271" s="458"/>
      <c r="AF271" s="458"/>
      <c r="AG271" s="458">
        <f t="shared" ref="AG271:AI271" si="249">SUM(AG269:AG270)</f>
        <v>0</v>
      </c>
      <c r="AH271" s="458">
        <f t="shared" si="249"/>
        <v>5430385</v>
      </c>
      <c r="AI271" s="458">
        <f t="shared" si="249"/>
        <v>1439330</v>
      </c>
      <c r="AJ271" s="770">
        <f>AI271/AH271*100</f>
        <v>26.505118881994555</v>
      </c>
    </row>
    <row r="272" spans="1:36" ht="7" customHeight="1">
      <c r="A272" s="40"/>
      <c r="B272" s="40"/>
      <c r="C272" s="124"/>
      <c r="D272" s="124"/>
      <c r="E272" s="124"/>
      <c r="F272" s="451"/>
      <c r="G272" s="41"/>
      <c r="H272" s="66"/>
      <c r="I272" s="41"/>
      <c r="J272" s="126"/>
      <c r="K272" s="204"/>
      <c r="L272" s="205"/>
      <c r="M272" s="205"/>
      <c r="N272" s="205"/>
      <c r="O272" s="205"/>
      <c r="P272" s="205"/>
      <c r="Q272" s="205"/>
      <c r="R272" s="205"/>
      <c r="S272" s="205"/>
      <c r="T272" s="205"/>
      <c r="U272" s="205"/>
      <c r="V272" s="205"/>
      <c r="W272" s="205"/>
      <c r="X272" s="205"/>
      <c r="Y272" s="205"/>
      <c r="Z272" s="205"/>
      <c r="AA272" s="205"/>
      <c r="AB272" s="205"/>
      <c r="AC272" s="205"/>
      <c r="AD272" s="205"/>
      <c r="AE272" s="205"/>
      <c r="AF272" s="205"/>
      <c r="AG272" s="205"/>
      <c r="AH272" s="205"/>
      <c r="AI272" s="205"/>
      <c r="AJ272" s="747"/>
    </row>
    <row r="273" spans="1:36" ht="14.5" customHeight="1">
      <c r="A273" s="40"/>
      <c r="B273" s="40">
        <v>3</v>
      </c>
      <c r="C273" s="124"/>
      <c r="D273" s="124"/>
      <c r="F273" s="451"/>
      <c r="G273" s="459" t="s">
        <v>334</v>
      </c>
      <c r="H273" s="66"/>
      <c r="I273" s="66"/>
      <c r="J273" s="452"/>
      <c r="K273" s="453"/>
      <c r="L273" s="454"/>
      <c r="M273" s="454"/>
      <c r="N273" s="454"/>
      <c r="O273" s="454"/>
      <c r="P273" s="454"/>
      <c r="Q273" s="454"/>
      <c r="R273" s="454"/>
      <c r="S273" s="454"/>
      <c r="T273" s="454"/>
      <c r="U273" s="454"/>
      <c r="V273" s="454"/>
      <c r="W273" s="454"/>
      <c r="X273" s="454"/>
      <c r="Y273" s="454"/>
      <c r="Z273" s="454"/>
      <c r="AA273" s="454"/>
      <c r="AB273" s="454"/>
      <c r="AC273" s="454"/>
      <c r="AD273" s="454"/>
      <c r="AE273" s="454"/>
      <c r="AF273" s="454"/>
      <c r="AG273" s="454"/>
      <c r="AH273" s="454"/>
      <c r="AI273" s="454"/>
      <c r="AJ273" s="769"/>
    </row>
    <row r="274" spans="1:36" ht="14.5" customHeight="1">
      <c r="A274" s="40"/>
      <c r="B274" s="40"/>
      <c r="C274" s="124">
        <v>1</v>
      </c>
      <c r="D274" s="124"/>
      <c r="E274" s="124"/>
      <c r="F274" s="451"/>
      <c r="G274" s="41"/>
      <c r="H274" s="66" t="s">
        <v>35</v>
      </c>
      <c r="I274" s="66"/>
      <c r="J274" s="452"/>
      <c r="K274" s="453"/>
      <c r="L274" s="454"/>
      <c r="M274" s="454"/>
      <c r="N274" s="454"/>
      <c r="O274" s="454"/>
      <c r="P274" s="454"/>
      <c r="Q274" s="454"/>
      <c r="R274" s="454"/>
      <c r="S274" s="454"/>
      <c r="T274" s="454"/>
      <c r="U274" s="454"/>
      <c r="V274" s="454"/>
      <c r="W274" s="454"/>
      <c r="X274" s="454"/>
      <c r="Y274" s="454"/>
      <c r="Z274" s="454"/>
      <c r="AA274" s="454"/>
      <c r="AB274" s="454"/>
      <c r="AC274" s="454"/>
      <c r="AD274" s="454"/>
      <c r="AE274" s="454"/>
      <c r="AF274" s="454"/>
      <c r="AG274" s="454"/>
      <c r="AH274" s="454"/>
      <c r="AI274" s="454"/>
      <c r="AJ274" s="769"/>
    </row>
    <row r="275" spans="1:36" ht="14.5" customHeight="1">
      <c r="A275" s="40"/>
      <c r="B275" s="40"/>
      <c r="C275" s="124"/>
      <c r="D275" s="124">
        <v>3</v>
      </c>
      <c r="E275" s="124" t="s">
        <v>199</v>
      </c>
      <c r="F275" s="451"/>
      <c r="G275" s="41"/>
      <c r="H275" s="66"/>
      <c r="I275" s="66" t="s">
        <v>116</v>
      </c>
      <c r="J275" s="452">
        <v>800000</v>
      </c>
      <c r="K275" s="453"/>
      <c r="L275" s="217">
        <f>SUM(J275:K275)</f>
        <v>800000</v>
      </c>
      <c r="M275" s="217">
        <v>61065</v>
      </c>
      <c r="N275" s="217"/>
      <c r="O275" s="217"/>
      <c r="P275" s="217"/>
      <c r="Q275" s="217"/>
      <c r="R275" s="217"/>
      <c r="S275" s="217">
        <f>SUM(M275:R275)</f>
        <v>61065</v>
      </c>
      <c r="T275" s="217">
        <f>S275+L275</f>
        <v>861065</v>
      </c>
      <c r="U275" s="217"/>
      <c r="V275" s="217"/>
      <c r="W275" s="217"/>
      <c r="X275" s="217"/>
      <c r="Y275" s="217"/>
      <c r="Z275" s="217">
        <f>SUM(U275:Y275)</f>
        <v>0</v>
      </c>
      <c r="AA275" s="217">
        <f>Z275+T275</f>
        <v>861065</v>
      </c>
      <c r="AB275" s="217"/>
      <c r="AC275" s="217"/>
      <c r="AD275" s="217"/>
      <c r="AE275" s="217"/>
      <c r="AF275" s="217"/>
      <c r="AG275" s="217">
        <f t="shared" ref="AG275" si="250">SUM(AB275:AF275)</f>
        <v>0</v>
      </c>
      <c r="AH275" s="217">
        <f t="shared" ref="AH275" si="251">AG275+AA275</f>
        <v>861065</v>
      </c>
      <c r="AI275" s="217">
        <v>422519</v>
      </c>
      <c r="AJ275" s="764">
        <f>AI275/AH275*100</f>
        <v>49.069350165202394</v>
      </c>
    </row>
    <row r="276" spans="1:36" ht="14.5" customHeight="1">
      <c r="A276" s="40"/>
      <c r="B276" s="40"/>
      <c r="C276" s="124"/>
      <c r="D276" s="124"/>
      <c r="E276" s="124"/>
      <c r="F276" s="451"/>
      <c r="G276" s="41"/>
      <c r="H276" s="66"/>
      <c r="I276" s="66"/>
      <c r="J276" s="452"/>
      <c r="K276" s="453"/>
      <c r="L276" s="454"/>
      <c r="M276" s="454"/>
      <c r="N276" s="454"/>
      <c r="O276" s="454"/>
      <c r="P276" s="454"/>
      <c r="Q276" s="454"/>
      <c r="R276" s="454"/>
      <c r="S276" s="454"/>
      <c r="T276" s="454"/>
      <c r="U276" s="454"/>
      <c r="V276" s="454"/>
      <c r="W276" s="454"/>
      <c r="X276" s="454"/>
      <c r="Y276" s="454"/>
      <c r="Z276" s="454"/>
      <c r="AA276" s="454"/>
      <c r="AB276" s="454"/>
      <c r="AC276" s="454"/>
      <c r="AD276" s="454"/>
      <c r="AE276" s="454"/>
      <c r="AF276" s="454"/>
      <c r="AG276" s="454"/>
      <c r="AH276" s="454"/>
      <c r="AI276" s="454"/>
      <c r="AJ276" s="769"/>
    </row>
    <row r="277" spans="1:36" ht="14.5" customHeight="1">
      <c r="A277" s="40"/>
      <c r="B277" s="40"/>
      <c r="C277" s="124"/>
      <c r="D277" s="124"/>
      <c r="E277" s="124"/>
      <c r="F277" s="455" t="s">
        <v>38</v>
      </c>
      <c r="G277" s="455"/>
      <c r="H277" s="456"/>
      <c r="I277" s="455"/>
      <c r="J277" s="333">
        <f>SUM(J272:J276)</f>
        <v>800000</v>
      </c>
      <c r="K277" s="457"/>
      <c r="L277" s="458">
        <f>SUM(L272:L276)</f>
        <v>800000</v>
      </c>
      <c r="M277" s="458">
        <f>SUM(M275:M276)</f>
        <v>61065</v>
      </c>
      <c r="N277" s="458">
        <f t="shared" ref="N277:T277" si="252">SUM(N275:N276)</f>
        <v>0</v>
      </c>
      <c r="O277" s="458">
        <f t="shared" si="252"/>
        <v>0</v>
      </c>
      <c r="P277" s="458">
        <f t="shared" si="252"/>
        <v>0</v>
      </c>
      <c r="Q277" s="458">
        <f t="shared" si="252"/>
        <v>0</v>
      </c>
      <c r="R277" s="458">
        <f t="shared" si="252"/>
        <v>0</v>
      </c>
      <c r="S277" s="458">
        <f t="shared" si="252"/>
        <v>61065</v>
      </c>
      <c r="T277" s="458">
        <f t="shared" si="252"/>
        <v>861065</v>
      </c>
      <c r="U277" s="458"/>
      <c r="V277" s="458"/>
      <c r="W277" s="458"/>
      <c r="X277" s="458"/>
      <c r="Y277" s="458"/>
      <c r="Z277" s="458">
        <f t="shared" ref="Z277:AA277" si="253">SUM(Z275:Z276)</f>
        <v>0</v>
      </c>
      <c r="AA277" s="458">
        <f t="shared" si="253"/>
        <v>861065</v>
      </c>
      <c r="AB277" s="458"/>
      <c r="AC277" s="458"/>
      <c r="AD277" s="458"/>
      <c r="AE277" s="458"/>
      <c r="AF277" s="458"/>
      <c r="AG277" s="458">
        <f t="shared" ref="AG277:AI277" si="254">SUM(AG275:AG276)</f>
        <v>0</v>
      </c>
      <c r="AH277" s="458">
        <f t="shared" si="254"/>
        <v>861065</v>
      </c>
      <c r="AI277" s="458">
        <f t="shared" si="254"/>
        <v>422519</v>
      </c>
      <c r="AJ277" s="770">
        <f>AI277/AH277*100</f>
        <v>49.069350165202394</v>
      </c>
    </row>
    <row r="278" spans="1:36" ht="14.5" customHeight="1">
      <c r="A278" s="40"/>
      <c r="B278" s="40"/>
      <c r="C278" s="124"/>
      <c r="D278" s="124"/>
      <c r="E278" s="124"/>
      <c r="F278" s="451"/>
      <c r="G278" s="41"/>
      <c r="H278" s="66"/>
      <c r="I278" s="41"/>
      <c r="J278" s="126"/>
      <c r="K278" s="204"/>
      <c r="L278" s="205"/>
      <c r="M278" s="205"/>
      <c r="N278" s="205"/>
      <c r="O278" s="205"/>
      <c r="P278" s="205"/>
      <c r="Q278" s="205"/>
      <c r="R278" s="205"/>
      <c r="S278" s="205"/>
      <c r="T278" s="205"/>
      <c r="U278" s="205"/>
      <c r="V278" s="205"/>
      <c r="W278" s="205"/>
      <c r="X278" s="205"/>
      <c r="Y278" s="205"/>
      <c r="Z278" s="205"/>
      <c r="AA278" s="205"/>
      <c r="AB278" s="205"/>
      <c r="AC278" s="205"/>
      <c r="AD278" s="205"/>
      <c r="AE278" s="205"/>
      <c r="AF278" s="205"/>
      <c r="AG278" s="205"/>
      <c r="AH278" s="205"/>
      <c r="AI278" s="205"/>
      <c r="AJ278" s="747"/>
    </row>
    <row r="279" spans="1:36" ht="14.5" customHeight="1">
      <c r="A279" s="40"/>
      <c r="B279" s="40">
        <v>4</v>
      </c>
      <c r="C279" s="124"/>
      <c r="D279" s="124"/>
      <c r="F279" s="451"/>
      <c r="G279" s="41" t="s">
        <v>147</v>
      </c>
      <c r="H279" s="66"/>
      <c r="I279" s="41"/>
      <c r="J279" s="126"/>
      <c r="K279" s="204"/>
      <c r="L279" s="205"/>
      <c r="M279" s="205"/>
      <c r="N279" s="205"/>
      <c r="O279" s="205"/>
      <c r="P279" s="205"/>
      <c r="Q279" s="205"/>
      <c r="R279" s="205"/>
      <c r="S279" s="205"/>
      <c r="T279" s="205"/>
      <c r="U279" s="205"/>
      <c r="V279" s="205"/>
      <c r="W279" s="205"/>
      <c r="X279" s="205"/>
      <c r="Y279" s="205"/>
      <c r="Z279" s="205"/>
      <c r="AA279" s="205"/>
      <c r="AB279" s="205"/>
      <c r="AC279" s="205"/>
      <c r="AD279" s="205"/>
      <c r="AE279" s="205"/>
      <c r="AF279" s="205"/>
      <c r="AG279" s="205"/>
      <c r="AH279" s="205"/>
      <c r="AI279" s="205"/>
      <c r="AJ279" s="747"/>
    </row>
    <row r="280" spans="1:36" ht="14.5" customHeight="1">
      <c r="A280" s="40"/>
      <c r="B280" s="40"/>
      <c r="C280" s="124">
        <v>1</v>
      </c>
      <c r="D280" s="124"/>
      <c r="E280" s="124"/>
      <c r="F280" s="451"/>
      <c r="G280" s="41"/>
      <c r="H280" s="66" t="s">
        <v>35</v>
      </c>
      <c r="I280" s="66"/>
      <c r="J280" s="126"/>
      <c r="K280" s="204"/>
      <c r="L280" s="205"/>
      <c r="M280" s="205"/>
      <c r="N280" s="205"/>
      <c r="O280" s="205"/>
      <c r="P280" s="205"/>
      <c r="Q280" s="205"/>
      <c r="R280" s="205"/>
      <c r="S280" s="205"/>
      <c r="T280" s="205"/>
      <c r="U280" s="205"/>
      <c r="V280" s="205"/>
      <c r="W280" s="205"/>
      <c r="X280" s="205"/>
      <c r="Y280" s="205"/>
      <c r="Z280" s="205"/>
      <c r="AA280" s="205"/>
      <c r="AB280" s="205"/>
      <c r="AC280" s="205"/>
      <c r="AD280" s="205"/>
      <c r="AE280" s="205"/>
      <c r="AF280" s="205"/>
      <c r="AG280" s="205"/>
      <c r="AH280" s="205"/>
      <c r="AI280" s="205"/>
      <c r="AJ280" s="747"/>
    </row>
    <row r="281" spans="1:36" ht="14.5" customHeight="1">
      <c r="A281" s="40"/>
      <c r="B281" s="40"/>
      <c r="C281" s="124"/>
      <c r="D281" s="411">
        <v>1</v>
      </c>
      <c r="E281" s="124" t="s">
        <v>198</v>
      </c>
      <c r="F281" s="412"/>
      <c r="G281" s="36"/>
      <c r="H281" s="162"/>
      <c r="I281" s="162" t="s">
        <v>180</v>
      </c>
      <c r="J281" s="128">
        <v>420000</v>
      </c>
      <c r="K281" s="204"/>
      <c r="L281" s="217">
        <f>SUM(J281:K281)</f>
        <v>420000</v>
      </c>
      <c r="M281" s="217">
        <v>175459</v>
      </c>
      <c r="N281" s="217"/>
      <c r="O281" s="217"/>
      <c r="P281" s="217"/>
      <c r="Q281" s="217"/>
      <c r="R281" s="217"/>
      <c r="S281" s="217">
        <f t="shared" ref="S281:S283" si="255">SUM(M281:R281)</f>
        <v>175459</v>
      </c>
      <c r="T281" s="217">
        <f t="shared" ref="T281:T283" si="256">S281+L281</f>
        <v>595459</v>
      </c>
      <c r="U281" s="217"/>
      <c r="V281" s="217"/>
      <c r="W281" s="217"/>
      <c r="X281" s="217"/>
      <c r="Y281" s="217"/>
      <c r="Z281" s="217">
        <f>SUM(U281:Y281)</f>
        <v>0</v>
      </c>
      <c r="AA281" s="217">
        <f>Z281+T281</f>
        <v>595459</v>
      </c>
      <c r="AB281" s="217"/>
      <c r="AC281" s="217"/>
      <c r="AD281" s="217"/>
      <c r="AE281" s="217">
        <v>68847</v>
      </c>
      <c r="AF281" s="217"/>
      <c r="AG281" s="217">
        <f t="shared" ref="AG281:AG283" si="257">SUM(AB281:AF281)</f>
        <v>68847</v>
      </c>
      <c r="AH281" s="217">
        <f t="shared" ref="AH281:AH283" si="258">AG281+AA281</f>
        <v>664306</v>
      </c>
      <c r="AI281" s="217">
        <v>470394</v>
      </c>
      <c r="AJ281" s="764">
        <f t="shared" ref="AJ281:AJ283" si="259">AI281/AH281*100</f>
        <v>70.809837635065762</v>
      </c>
    </row>
    <row r="282" spans="1:36" ht="14.5" customHeight="1">
      <c r="A282" s="40"/>
      <c r="B282" s="40"/>
      <c r="C282" s="124"/>
      <c r="D282" s="411">
        <v>2</v>
      </c>
      <c r="E282" s="124" t="s">
        <v>198</v>
      </c>
      <c r="F282" s="412"/>
      <c r="G282" s="36"/>
      <c r="H282" s="162"/>
      <c r="I282" s="162" t="s">
        <v>182</v>
      </c>
      <c r="J282" s="128">
        <v>94412</v>
      </c>
      <c r="K282" s="204"/>
      <c r="L282" s="217">
        <f>SUM(J282:K282)</f>
        <v>94412</v>
      </c>
      <c r="M282" s="217">
        <v>38554</v>
      </c>
      <c r="N282" s="217"/>
      <c r="O282" s="217"/>
      <c r="P282" s="217"/>
      <c r="Q282" s="217"/>
      <c r="R282" s="217"/>
      <c r="S282" s="217">
        <f t="shared" si="255"/>
        <v>38554</v>
      </c>
      <c r="T282" s="217">
        <f t="shared" si="256"/>
        <v>132966</v>
      </c>
      <c r="U282" s="217"/>
      <c r="V282" s="217"/>
      <c r="W282" s="217"/>
      <c r="X282" s="217"/>
      <c r="Y282" s="217"/>
      <c r="Z282" s="217">
        <f>SUM(U282:Y282)</f>
        <v>0</v>
      </c>
      <c r="AA282" s="217">
        <f>Z282+T282</f>
        <v>132966</v>
      </c>
      <c r="AB282" s="217"/>
      <c r="AC282" s="217"/>
      <c r="AD282" s="217"/>
      <c r="AE282" s="217">
        <v>40660</v>
      </c>
      <c r="AF282" s="217"/>
      <c r="AG282" s="217">
        <f t="shared" si="257"/>
        <v>40660</v>
      </c>
      <c r="AH282" s="217">
        <f t="shared" si="258"/>
        <v>173626</v>
      </c>
      <c r="AI282" s="217">
        <v>154991</v>
      </c>
      <c r="AJ282" s="764">
        <f t="shared" si="259"/>
        <v>89.267160448319942</v>
      </c>
    </row>
    <row r="283" spans="1:36" ht="14.5" customHeight="1">
      <c r="A283" s="40"/>
      <c r="B283" s="40"/>
      <c r="C283" s="124"/>
      <c r="D283" s="411">
        <v>3</v>
      </c>
      <c r="E283" s="124" t="s">
        <v>198</v>
      </c>
      <c r="F283" s="412"/>
      <c r="G283" s="36"/>
      <c r="H283" s="162"/>
      <c r="I283" s="162" t="s">
        <v>116</v>
      </c>
      <c r="J283" s="128">
        <v>185588</v>
      </c>
      <c r="K283" s="208"/>
      <c r="L283" s="217">
        <f>SUM(J283:K283)</f>
        <v>185588</v>
      </c>
      <c r="M283" s="217">
        <v>42514</v>
      </c>
      <c r="N283" s="217"/>
      <c r="O283" s="217"/>
      <c r="P283" s="217"/>
      <c r="Q283" s="217"/>
      <c r="R283" s="217"/>
      <c r="S283" s="217">
        <f t="shared" si="255"/>
        <v>42514</v>
      </c>
      <c r="T283" s="217">
        <f t="shared" si="256"/>
        <v>228102</v>
      </c>
      <c r="U283" s="217"/>
      <c r="V283" s="217"/>
      <c r="W283" s="217"/>
      <c r="X283" s="217"/>
      <c r="Y283" s="217"/>
      <c r="Z283" s="217">
        <f>SUM(U283:Y283)</f>
        <v>0</v>
      </c>
      <c r="AA283" s="217">
        <f>Z283+T283</f>
        <v>228102</v>
      </c>
      <c r="AB283" s="217"/>
      <c r="AC283" s="217"/>
      <c r="AD283" s="217"/>
      <c r="AE283" s="217">
        <v>157405</v>
      </c>
      <c r="AF283" s="217"/>
      <c r="AG283" s="217">
        <f t="shared" si="257"/>
        <v>157405</v>
      </c>
      <c r="AH283" s="217">
        <f t="shared" si="258"/>
        <v>385507</v>
      </c>
      <c r="AI283" s="217">
        <v>202074</v>
      </c>
      <c r="AJ283" s="764">
        <f t="shared" si="259"/>
        <v>52.417725229373268</v>
      </c>
    </row>
    <row r="284" spans="1:36" ht="14">
      <c r="A284" s="40"/>
      <c r="B284" s="40"/>
      <c r="C284" s="124"/>
      <c r="D284" s="124"/>
      <c r="E284" s="124"/>
      <c r="F284" s="451"/>
      <c r="G284" s="41"/>
      <c r="H284" s="66"/>
      <c r="I284" s="41"/>
      <c r="J284" s="126"/>
      <c r="K284" s="204"/>
      <c r="L284" s="205"/>
      <c r="M284" s="205"/>
      <c r="N284" s="205"/>
      <c r="O284" s="205"/>
      <c r="P284" s="205"/>
      <c r="Q284" s="205"/>
      <c r="R284" s="205"/>
      <c r="S284" s="205"/>
      <c r="T284" s="205"/>
      <c r="U284" s="205"/>
      <c r="V284" s="205"/>
      <c r="W284" s="205"/>
      <c r="X284" s="205"/>
      <c r="Y284" s="205"/>
      <c r="Z284" s="205"/>
      <c r="AA284" s="205"/>
      <c r="AB284" s="205"/>
      <c r="AC284" s="205"/>
      <c r="AD284" s="205"/>
      <c r="AE284" s="205"/>
      <c r="AF284" s="205"/>
      <c r="AG284" s="205"/>
      <c r="AH284" s="205"/>
      <c r="AI284" s="205"/>
      <c r="AJ284" s="747"/>
    </row>
    <row r="285" spans="1:36" ht="14">
      <c r="A285" s="40"/>
      <c r="B285" s="40"/>
      <c r="C285" s="124"/>
      <c r="D285" s="124"/>
      <c r="E285" s="124"/>
      <c r="F285" s="455" t="s">
        <v>38</v>
      </c>
      <c r="G285" s="455"/>
      <c r="H285" s="456"/>
      <c r="I285" s="455"/>
      <c r="J285" s="333">
        <f>SUM(J279:J284)</f>
        <v>700000</v>
      </c>
      <c r="K285" s="457"/>
      <c r="L285" s="458">
        <f>SUM(L279:L284)</f>
        <v>700000</v>
      </c>
      <c r="M285" s="458">
        <f>SUM(M281:M284)</f>
        <v>256527</v>
      </c>
      <c r="N285" s="458">
        <f t="shared" ref="N285:T285" si="260">SUM(N281:N284)</f>
        <v>0</v>
      </c>
      <c r="O285" s="458">
        <f t="shared" si="260"/>
        <v>0</v>
      </c>
      <c r="P285" s="458">
        <f t="shared" si="260"/>
        <v>0</v>
      </c>
      <c r="Q285" s="458">
        <f t="shared" si="260"/>
        <v>0</v>
      </c>
      <c r="R285" s="458">
        <f t="shared" si="260"/>
        <v>0</v>
      </c>
      <c r="S285" s="458">
        <f t="shared" si="260"/>
        <v>256527</v>
      </c>
      <c r="T285" s="458">
        <f t="shared" si="260"/>
        <v>956527</v>
      </c>
      <c r="U285" s="458"/>
      <c r="V285" s="458"/>
      <c r="W285" s="458"/>
      <c r="X285" s="458"/>
      <c r="Y285" s="458"/>
      <c r="Z285" s="458">
        <f t="shared" ref="Z285:AA285" si="261">SUM(Z281:Z284)</f>
        <v>0</v>
      </c>
      <c r="AA285" s="458">
        <f t="shared" si="261"/>
        <v>956527</v>
      </c>
      <c r="AB285" s="458"/>
      <c r="AC285" s="458"/>
      <c r="AD285" s="458"/>
      <c r="AE285" s="458">
        <f t="shared" ref="AE285" si="262">SUM(AE281:AE284)</f>
        <v>266912</v>
      </c>
      <c r="AF285" s="458"/>
      <c r="AG285" s="458">
        <f t="shared" ref="AG285:AH285" si="263">SUM(AG281:AG284)</f>
        <v>266912</v>
      </c>
      <c r="AH285" s="458">
        <f t="shared" si="263"/>
        <v>1223439</v>
      </c>
      <c r="AI285" s="458">
        <f t="shared" ref="AI285" si="264">SUM(AI281:AI284)</f>
        <v>827459</v>
      </c>
      <c r="AJ285" s="770">
        <f>AI285/AH285*100</f>
        <v>67.633858328858238</v>
      </c>
    </row>
    <row r="286" spans="1:36" ht="14">
      <c r="A286" s="40"/>
      <c r="B286" s="40"/>
      <c r="C286" s="124"/>
      <c r="D286" s="124"/>
      <c r="E286" s="124"/>
      <c r="F286" s="451"/>
      <c r="G286" s="41"/>
      <c r="H286" s="66"/>
      <c r="I286" s="66"/>
      <c r="J286" s="452"/>
      <c r="K286" s="453"/>
      <c r="L286" s="454"/>
      <c r="M286" s="454"/>
      <c r="N286" s="454"/>
      <c r="O286" s="454"/>
      <c r="P286" s="454"/>
      <c r="Q286" s="454"/>
      <c r="R286" s="454"/>
      <c r="S286" s="454"/>
      <c r="T286" s="454"/>
      <c r="U286" s="454"/>
      <c r="V286" s="454"/>
      <c r="W286" s="454"/>
      <c r="X286" s="454"/>
      <c r="Y286" s="454"/>
      <c r="Z286" s="454"/>
      <c r="AA286" s="454"/>
      <c r="AB286" s="454"/>
      <c r="AC286" s="454"/>
      <c r="AD286" s="454"/>
      <c r="AE286" s="454"/>
      <c r="AF286" s="454"/>
      <c r="AG286" s="454"/>
      <c r="AH286" s="454"/>
      <c r="AI286" s="454"/>
      <c r="AJ286" s="769"/>
    </row>
    <row r="287" spans="1:36" ht="14">
      <c r="A287" s="40"/>
      <c r="B287" s="40"/>
      <c r="C287" s="124"/>
      <c r="D287" s="124"/>
      <c r="E287" s="124"/>
      <c r="F287" s="413" t="s">
        <v>37</v>
      </c>
      <c r="G287" s="413"/>
      <c r="H287" s="414"/>
      <c r="I287" s="413"/>
      <c r="J287" s="460">
        <f>SUM(J261:J285)/2</f>
        <v>167000000</v>
      </c>
      <c r="K287" s="461"/>
      <c r="L287" s="460">
        <f>SUM(L261:L285)/2</f>
        <v>167000000</v>
      </c>
      <c r="M287" s="460">
        <f t="shared" ref="M287:T287" si="265">SUM(M261:M285)/2</f>
        <v>9841973</v>
      </c>
      <c r="N287" s="460">
        <f t="shared" si="265"/>
        <v>0</v>
      </c>
      <c r="O287" s="460">
        <f t="shared" si="265"/>
        <v>0</v>
      </c>
      <c r="P287" s="460">
        <f t="shared" si="265"/>
        <v>0</v>
      </c>
      <c r="Q287" s="460">
        <f t="shared" si="265"/>
        <v>0</v>
      </c>
      <c r="R287" s="460">
        <f t="shared" si="265"/>
        <v>0</v>
      </c>
      <c r="S287" s="460">
        <f t="shared" si="265"/>
        <v>9841973</v>
      </c>
      <c r="T287" s="460">
        <f t="shared" si="265"/>
        <v>176841973</v>
      </c>
      <c r="U287" s="460"/>
      <c r="V287" s="460"/>
      <c r="W287" s="460"/>
      <c r="X287" s="460"/>
      <c r="Y287" s="460"/>
      <c r="Z287" s="460">
        <f t="shared" ref="Z287:AA287" si="266">SUM(Z261:Z285)/2</f>
        <v>0</v>
      </c>
      <c r="AA287" s="460">
        <f t="shared" si="266"/>
        <v>176841973</v>
      </c>
      <c r="AB287" s="460"/>
      <c r="AC287" s="460"/>
      <c r="AD287" s="460"/>
      <c r="AE287" s="460">
        <f t="shared" ref="AE287" si="267">SUM(AE261:AE285)/2</f>
        <v>154719</v>
      </c>
      <c r="AF287" s="460"/>
      <c r="AG287" s="460">
        <f t="shared" ref="AG287:AH287" si="268">SUM(AG261:AG285)/2</f>
        <v>154719</v>
      </c>
      <c r="AH287" s="460">
        <f t="shared" si="268"/>
        <v>176996692</v>
      </c>
      <c r="AI287" s="460">
        <f t="shared" ref="AI287" si="269">SUM(AI261:AI285)/2</f>
        <v>154722402</v>
      </c>
      <c r="AJ287" s="771">
        <f>AI287/AH287*100</f>
        <v>87.415420170677535</v>
      </c>
    </row>
    <row r="288" spans="1:36" ht="14">
      <c r="A288" s="40"/>
      <c r="B288" s="40"/>
      <c r="C288" s="124"/>
      <c r="D288" s="124"/>
      <c r="E288" s="124"/>
      <c r="F288" s="451"/>
      <c r="G288" s="41"/>
      <c r="H288" s="66"/>
      <c r="I288" s="41"/>
      <c r="J288" s="126"/>
      <c r="K288" s="204"/>
      <c r="L288" s="205"/>
      <c r="M288" s="205"/>
      <c r="N288" s="205"/>
      <c r="O288" s="205"/>
      <c r="P288" s="205"/>
      <c r="Q288" s="205"/>
      <c r="R288" s="205"/>
      <c r="S288" s="205"/>
      <c r="T288" s="205"/>
      <c r="U288" s="205"/>
      <c r="V288" s="205"/>
      <c r="W288" s="205"/>
      <c r="X288" s="205"/>
      <c r="Y288" s="205"/>
      <c r="Z288" s="205"/>
      <c r="AA288" s="205"/>
      <c r="AB288" s="205"/>
      <c r="AC288" s="205"/>
      <c r="AD288" s="205"/>
      <c r="AE288" s="205"/>
      <c r="AF288" s="205"/>
      <c r="AG288" s="205"/>
      <c r="AH288" s="205"/>
      <c r="AI288" s="205"/>
      <c r="AJ288" s="747"/>
    </row>
    <row r="289" spans="1:36" ht="14">
      <c r="A289" s="40">
        <v>6</v>
      </c>
      <c r="B289" s="40"/>
      <c r="C289" s="124"/>
      <c r="D289" s="124"/>
      <c r="F289" s="451" t="s">
        <v>29</v>
      </c>
      <c r="G289" s="41"/>
      <c r="H289" s="66"/>
      <c r="I289" s="66"/>
      <c r="J289" s="452"/>
      <c r="K289" s="453"/>
      <c r="L289" s="454"/>
      <c r="M289" s="454"/>
      <c r="N289" s="454"/>
      <c r="O289" s="454"/>
      <c r="P289" s="454"/>
      <c r="Q289" s="454"/>
      <c r="R289" s="454"/>
      <c r="S289" s="454"/>
      <c r="T289" s="454"/>
      <c r="U289" s="454"/>
      <c r="V289" s="454"/>
      <c r="W289" s="454"/>
      <c r="X289" s="454"/>
      <c r="Y289" s="454"/>
      <c r="Z289" s="454"/>
      <c r="AA289" s="454"/>
      <c r="AB289" s="454"/>
      <c r="AC289" s="454"/>
      <c r="AD289" s="454"/>
      <c r="AE289" s="454"/>
      <c r="AF289" s="454"/>
      <c r="AG289" s="454"/>
      <c r="AH289" s="454"/>
      <c r="AI289" s="454"/>
      <c r="AJ289" s="769"/>
    </row>
    <row r="290" spans="1:36" ht="14">
      <c r="A290" s="40"/>
      <c r="B290" s="40">
        <v>1</v>
      </c>
      <c r="C290" s="124"/>
      <c r="D290" s="124"/>
      <c r="E290" s="124"/>
      <c r="F290" s="451"/>
      <c r="G290" s="459" t="s">
        <v>135</v>
      </c>
      <c r="H290" s="66"/>
      <c r="I290" s="66"/>
      <c r="J290" s="452"/>
      <c r="K290" s="453"/>
      <c r="L290" s="454"/>
      <c r="M290" s="454"/>
      <c r="N290" s="454"/>
      <c r="O290" s="454"/>
      <c r="P290" s="454"/>
      <c r="Q290" s="454"/>
      <c r="R290" s="454"/>
      <c r="S290" s="454"/>
      <c r="T290" s="454"/>
      <c r="U290" s="454"/>
      <c r="V290" s="454"/>
      <c r="W290" s="454"/>
      <c r="X290" s="454"/>
      <c r="Y290" s="454"/>
      <c r="Z290" s="454"/>
      <c r="AA290" s="454"/>
      <c r="AB290" s="454"/>
      <c r="AC290" s="454"/>
      <c r="AD290" s="454"/>
      <c r="AE290" s="454"/>
      <c r="AF290" s="454"/>
      <c r="AG290" s="454"/>
      <c r="AH290" s="454"/>
      <c r="AI290" s="454"/>
      <c r="AJ290" s="769"/>
    </row>
    <row r="291" spans="1:36" ht="14">
      <c r="A291" s="40"/>
      <c r="B291" s="40"/>
      <c r="C291" s="124">
        <v>1</v>
      </c>
      <c r="D291" s="124"/>
      <c r="E291" s="124"/>
      <c r="F291" s="451"/>
      <c r="G291" s="41"/>
      <c r="H291" s="66" t="s">
        <v>35</v>
      </c>
      <c r="I291" s="66"/>
      <c r="J291" s="452"/>
      <c r="K291" s="453"/>
      <c r="L291" s="454"/>
      <c r="M291" s="454"/>
      <c r="N291" s="454"/>
      <c r="O291" s="454"/>
      <c r="P291" s="454"/>
      <c r="Q291" s="454"/>
      <c r="R291" s="454"/>
      <c r="S291" s="454"/>
      <c r="T291" s="454"/>
      <c r="U291" s="454"/>
      <c r="V291" s="454"/>
      <c r="W291" s="454"/>
      <c r="X291" s="454"/>
      <c r="Y291" s="454"/>
      <c r="Z291" s="454"/>
      <c r="AA291" s="454"/>
      <c r="AB291" s="454"/>
      <c r="AC291" s="454"/>
      <c r="AD291" s="454"/>
      <c r="AE291" s="454"/>
      <c r="AF291" s="454"/>
      <c r="AG291" s="454"/>
      <c r="AH291" s="454"/>
      <c r="AI291" s="454"/>
      <c r="AJ291" s="769"/>
    </row>
    <row r="292" spans="1:36" ht="14">
      <c r="A292" s="40"/>
      <c r="B292" s="40"/>
      <c r="C292" s="124"/>
      <c r="D292" s="124">
        <v>3</v>
      </c>
      <c r="E292" s="124" t="s">
        <v>199</v>
      </c>
      <c r="F292" s="451"/>
      <c r="G292" s="41"/>
      <c r="H292" s="66"/>
      <c r="I292" s="66" t="s">
        <v>116</v>
      </c>
      <c r="J292" s="128">
        <v>1000000</v>
      </c>
      <c r="K292" s="208"/>
      <c r="L292" s="217">
        <f>SUM(J292:K292)</f>
        <v>1000000</v>
      </c>
      <c r="M292" s="217">
        <v>342443</v>
      </c>
      <c r="N292" s="217"/>
      <c r="O292" s="217"/>
      <c r="P292" s="217"/>
      <c r="Q292" s="217"/>
      <c r="R292" s="217"/>
      <c r="S292" s="217">
        <f t="shared" ref="S292" si="270">SUM(M292:R292)</f>
        <v>342443</v>
      </c>
      <c r="T292" s="217">
        <f t="shared" ref="T292" si="271">S292+L292</f>
        <v>1342443</v>
      </c>
      <c r="U292" s="217"/>
      <c r="V292" s="217"/>
      <c r="W292" s="217"/>
      <c r="X292" s="217"/>
      <c r="Y292" s="217"/>
      <c r="Z292" s="217">
        <f>SUM(U292:Y292)</f>
        <v>0</v>
      </c>
      <c r="AA292" s="217">
        <f>Z292+T292</f>
        <v>1342443</v>
      </c>
      <c r="AB292" s="217"/>
      <c r="AC292" s="217"/>
      <c r="AD292" s="217"/>
      <c r="AE292" s="217">
        <v>-235458</v>
      </c>
      <c r="AF292" s="217"/>
      <c r="AG292" s="217">
        <f t="shared" ref="AG292" si="272">SUM(AB292:AF292)</f>
        <v>-235458</v>
      </c>
      <c r="AH292" s="217">
        <f t="shared" ref="AH292" si="273">AG292+AA292</f>
        <v>1106985</v>
      </c>
      <c r="AI292" s="217">
        <v>694698</v>
      </c>
      <c r="AJ292" s="764">
        <f>AI292/AH292*100</f>
        <v>62.755863900594854</v>
      </c>
    </row>
    <row r="293" spans="1:36" ht="14">
      <c r="A293" s="40"/>
      <c r="B293" s="40"/>
      <c r="C293" s="124"/>
      <c r="D293" s="124"/>
      <c r="E293" s="124"/>
      <c r="F293" s="451"/>
      <c r="G293" s="41"/>
      <c r="H293" s="66"/>
      <c r="I293" s="66"/>
      <c r="J293" s="452"/>
      <c r="K293" s="453"/>
      <c r="L293" s="454"/>
      <c r="M293" s="454"/>
      <c r="N293" s="454"/>
      <c r="O293" s="454"/>
      <c r="P293" s="454"/>
      <c r="Q293" s="454"/>
      <c r="R293" s="454"/>
      <c r="S293" s="454"/>
      <c r="T293" s="454"/>
      <c r="U293" s="454"/>
      <c r="V293" s="454"/>
      <c r="W293" s="454"/>
      <c r="X293" s="454"/>
      <c r="Y293" s="454"/>
      <c r="Z293" s="454"/>
      <c r="AA293" s="454"/>
      <c r="AB293" s="454"/>
      <c r="AC293" s="454"/>
      <c r="AD293" s="454"/>
      <c r="AE293" s="454"/>
      <c r="AF293" s="454"/>
      <c r="AG293" s="454"/>
      <c r="AH293" s="454"/>
      <c r="AI293" s="454"/>
      <c r="AJ293" s="769"/>
    </row>
    <row r="294" spans="1:36" ht="14">
      <c r="A294" s="40"/>
      <c r="B294" s="40"/>
      <c r="C294" s="124"/>
      <c r="D294" s="124"/>
      <c r="E294" s="124"/>
      <c r="F294" s="455" t="s">
        <v>38</v>
      </c>
      <c r="G294" s="455"/>
      <c r="H294" s="456"/>
      <c r="I294" s="455"/>
      <c r="J294" s="333">
        <f>SUM(J288:J293)</f>
        <v>1000000</v>
      </c>
      <c r="K294" s="457"/>
      <c r="L294" s="458">
        <f>SUM(L288:L293)</f>
        <v>1000000</v>
      </c>
      <c r="M294" s="458">
        <f>SUM(M292:M293)</f>
        <v>342443</v>
      </c>
      <c r="N294" s="458">
        <f t="shared" ref="N294:T294" si="274">SUM(N292:N293)</f>
        <v>0</v>
      </c>
      <c r="O294" s="458">
        <f t="shared" si="274"/>
        <v>0</v>
      </c>
      <c r="P294" s="458">
        <f t="shared" si="274"/>
        <v>0</v>
      </c>
      <c r="Q294" s="458">
        <f t="shared" si="274"/>
        <v>0</v>
      </c>
      <c r="R294" s="458">
        <f t="shared" si="274"/>
        <v>0</v>
      </c>
      <c r="S294" s="458">
        <f t="shared" si="274"/>
        <v>342443</v>
      </c>
      <c r="T294" s="458">
        <f t="shared" si="274"/>
        <v>1342443</v>
      </c>
      <c r="U294" s="458"/>
      <c r="V294" s="458"/>
      <c r="W294" s="458"/>
      <c r="X294" s="458"/>
      <c r="Y294" s="458"/>
      <c r="Z294" s="458">
        <f t="shared" ref="Z294:AA294" si="275">SUM(Z292:Z293)</f>
        <v>0</v>
      </c>
      <c r="AA294" s="458">
        <f t="shared" si="275"/>
        <v>1342443</v>
      </c>
      <c r="AB294" s="458"/>
      <c r="AC294" s="458"/>
      <c r="AD294" s="458"/>
      <c r="AE294" s="458">
        <f t="shared" ref="AE294:AI294" si="276">SUM(AE292:AE293)</f>
        <v>-235458</v>
      </c>
      <c r="AF294" s="458"/>
      <c r="AG294" s="458">
        <f t="shared" si="276"/>
        <v>-235458</v>
      </c>
      <c r="AH294" s="458">
        <f t="shared" si="276"/>
        <v>1106985</v>
      </c>
      <c r="AI294" s="458">
        <f t="shared" si="276"/>
        <v>694698</v>
      </c>
      <c r="AJ294" s="770">
        <f>AI294/AH294*100</f>
        <v>62.755863900594854</v>
      </c>
    </row>
    <row r="295" spans="1:36" ht="14">
      <c r="A295" s="40"/>
      <c r="B295" s="40"/>
      <c r="C295" s="124"/>
      <c r="D295" s="124"/>
      <c r="E295" s="124"/>
      <c r="F295" s="417"/>
      <c r="G295" s="417"/>
      <c r="H295" s="418"/>
      <c r="I295" s="417"/>
      <c r="J295" s="126"/>
      <c r="K295" s="204"/>
      <c r="L295" s="205"/>
      <c r="M295" s="205"/>
      <c r="N295" s="205"/>
      <c r="O295" s="205"/>
      <c r="P295" s="205"/>
      <c r="Q295" s="205"/>
      <c r="R295" s="205"/>
      <c r="S295" s="205"/>
      <c r="T295" s="205"/>
      <c r="U295" s="205"/>
      <c r="V295" s="205"/>
      <c r="W295" s="205"/>
      <c r="X295" s="205"/>
      <c r="Y295" s="205"/>
      <c r="Z295" s="205"/>
      <c r="AA295" s="205"/>
      <c r="AB295" s="205"/>
      <c r="AC295" s="205"/>
      <c r="AD295" s="205"/>
      <c r="AE295" s="205"/>
      <c r="AF295" s="205"/>
      <c r="AG295" s="205"/>
      <c r="AH295" s="205"/>
      <c r="AI295" s="205"/>
      <c r="AJ295" s="747"/>
    </row>
    <row r="296" spans="1:36" ht="14.5" customHeight="1">
      <c r="A296" s="40"/>
      <c r="B296" s="40">
        <v>2</v>
      </c>
      <c r="C296" s="124"/>
      <c r="D296" s="124"/>
      <c r="F296" s="451"/>
      <c r="G296" s="459" t="s">
        <v>169</v>
      </c>
      <c r="H296" s="66"/>
      <c r="I296" s="66"/>
      <c r="J296" s="452"/>
      <c r="K296" s="453"/>
      <c r="L296" s="454"/>
      <c r="M296" s="454"/>
      <c r="N296" s="454"/>
      <c r="O296" s="454"/>
      <c r="P296" s="454"/>
      <c r="Q296" s="454"/>
      <c r="R296" s="454"/>
      <c r="S296" s="454"/>
      <c r="T296" s="454"/>
      <c r="U296" s="454"/>
      <c r="V296" s="454"/>
      <c r="W296" s="454"/>
      <c r="X296" s="454"/>
      <c r="Y296" s="454"/>
      <c r="Z296" s="454"/>
      <c r="AA296" s="454"/>
      <c r="AB296" s="454"/>
      <c r="AC296" s="454"/>
      <c r="AD296" s="454"/>
      <c r="AE296" s="454"/>
      <c r="AF296" s="454"/>
      <c r="AG296" s="454"/>
      <c r="AH296" s="454"/>
      <c r="AI296" s="454"/>
      <c r="AJ296" s="769"/>
    </row>
    <row r="297" spans="1:36" ht="14.5" customHeight="1">
      <c r="A297" s="40"/>
      <c r="B297" s="40"/>
      <c r="C297" s="124">
        <v>1</v>
      </c>
      <c r="D297" s="124"/>
      <c r="E297" s="124"/>
      <c r="F297" s="451"/>
      <c r="G297" s="41"/>
      <c r="H297" s="66" t="s">
        <v>35</v>
      </c>
      <c r="I297" s="66"/>
      <c r="J297" s="452"/>
      <c r="K297" s="453"/>
      <c r="L297" s="454"/>
      <c r="M297" s="454"/>
      <c r="N297" s="454"/>
      <c r="O297" s="454"/>
      <c r="P297" s="454"/>
      <c r="Q297" s="454"/>
      <c r="R297" s="454"/>
      <c r="S297" s="454"/>
      <c r="T297" s="454"/>
      <c r="U297" s="454"/>
      <c r="V297" s="454"/>
      <c r="W297" s="454"/>
      <c r="X297" s="454"/>
      <c r="Y297" s="454"/>
      <c r="Z297" s="454"/>
      <c r="AA297" s="454"/>
      <c r="AB297" s="454"/>
      <c r="AC297" s="454"/>
      <c r="AD297" s="454"/>
      <c r="AE297" s="454"/>
      <c r="AF297" s="454"/>
      <c r="AG297" s="454"/>
      <c r="AH297" s="454"/>
      <c r="AI297" s="454"/>
      <c r="AJ297" s="769"/>
    </row>
    <row r="298" spans="1:36" ht="14.5" customHeight="1">
      <c r="A298" s="40"/>
      <c r="B298" s="40"/>
      <c r="C298" s="124"/>
      <c r="D298" s="124">
        <v>3</v>
      </c>
      <c r="E298" s="124" t="s">
        <v>198</v>
      </c>
      <c r="F298" s="451"/>
      <c r="G298" s="41"/>
      <c r="H298" s="66"/>
      <c r="I298" s="66" t="s">
        <v>116</v>
      </c>
      <c r="J298" s="452">
        <v>4000000</v>
      </c>
      <c r="K298" s="453"/>
      <c r="L298" s="217">
        <f>SUM(J298:K298)</f>
        <v>4000000</v>
      </c>
      <c r="M298" s="217">
        <v>1808050</v>
      </c>
      <c r="N298" s="217"/>
      <c r="O298" s="217"/>
      <c r="P298" s="217"/>
      <c r="Q298" s="217"/>
      <c r="R298" s="217"/>
      <c r="S298" s="217">
        <f t="shared" ref="S298" si="277">SUM(M298:R298)</f>
        <v>1808050</v>
      </c>
      <c r="T298" s="217">
        <f t="shared" ref="T298" si="278">S298+L298</f>
        <v>5808050</v>
      </c>
      <c r="U298" s="217"/>
      <c r="V298" s="217"/>
      <c r="W298" s="217"/>
      <c r="X298" s="217">
        <v>-238506</v>
      </c>
      <c r="Y298" s="217"/>
      <c r="Z298" s="217">
        <f>SUM(U298:Y298)</f>
        <v>-238506</v>
      </c>
      <c r="AA298" s="217">
        <f>Z298+T298</f>
        <v>5569544</v>
      </c>
      <c r="AB298" s="217"/>
      <c r="AC298" s="217"/>
      <c r="AD298" s="217"/>
      <c r="AE298" s="217"/>
      <c r="AF298" s="217"/>
      <c r="AG298" s="217">
        <f t="shared" ref="AG298" si="279">SUM(AB298:AF298)</f>
        <v>0</v>
      </c>
      <c r="AH298" s="217">
        <f t="shared" ref="AH298" si="280">AG298+AA298</f>
        <v>5569544</v>
      </c>
      <c r="AI298" s="217">
        <v>2928499</v>
      </c>
      <c r="AJ298" s="764">
        <f>AI298/AH298*100</f>
        <v>52.580588285145069</v>
      </c>
    </row>
    <row r="299" spans="1:36" ht="14.5" customHeight="1">
      <c r="A299" s="40"/>
      <c r="B299" s="40"/>
      <c r="C299" s="124"/>
      <c r="D299" s="124"/>
      <c r="E299" s="124"/>
      <c r="F299" s="451"/>
      <c r="G299" s="41"/>
      <c r="H299" s="66"/>
      <c r="I299" s="66"/>
      <c r="J299" s="452"/>
      <c r="K299" s="453"/>
      <c r="L299" s="454"/>
      <c r="M299" s="454"/>
      <c r="N299" s="454"/>
      <c r="O299" s="454"/>
      <c r="P299" s="454"/>
      <c r="Q299" s="454"/>
      <c r="R299" s="454"/>
      <c r="S299" s="454"/>
      <c r="T299" s="454"/>
      <c r="U299" s="454"/>
      <c r="V299" s="454"/>
      <c r="W299" s="454"/>
      <c r="X299" s="454"/>
      <c r="Y299" s="454"/>
      <c r="Z299" s="454"/>
      <c r="AA299" s="454"/>
      <c r="AB299" s="454"/>
      <c r="AC299" s="454"/>
      <c r="AD299" s="454"/>
      <c r="AE299" s="454"/>
      <c r="AF299" s="454"/>
      <c r="AG299" s="454"/>
      <c r="AH299" s="454"/>
      <c r="AI299" s="454"/>
      <c r="AJ299" s="769"/>
    </row>
    <row r="300" spans="1:36" ht="14">
      <c r="A300" s="40"/>
      <c r="B300" s="40"/>
      <c r="C300" s="124"/>
      <c r="D300" s="124"/>
      <c r="E300" s="124"/>
      <c r="F300" s="173"/>
      <c r="G300" s="64"/>
      <c r="H300" s="65"/>
      <c r="I300" s="64" t="s">
        <v>38</v>
      </c>
      <c r="J300" s="333">
        <f>SUM(J296:J299)</f>
        <v>4000000</v>
      </c>
      <c r="K300" s="457"/>
      <c r="L300" s="458">
        <f>SUM(L296:L299)</f>
        <v>4000000</v>
      </c>
      <c r="M300" s="458">
        <f>SUM(M298:M299)</f>
        <v>1808050</v>
      </c>
      <c r="N300" s="458">
        <f t="shared" ref="N300:T300" si="281">SUM(N298:N299)</f>
        <v>0</v>
      </c>
      <c r="O300" s="458">
        <f t="shared" si="281"/>
        <v>0</v>
      </c>
      <c r="P300" s="458">
        <f t="shared" si="281"/>
        <v>0</v>
      </c>
      <c r="Q300" s="458">
        <f t="shared" si="281"/>
        <v>0</v>
      </c>
      <c r="R300" s="458">
        <f t="shared" si="281"/>
        <v>0</v>
      </c>
      <c r="S300" s="458">
        <f t="shared" si="281"/>
        <v>1808050</v>
      </c>
      <c r="T300" s="458">
        <f t="shared" si="281"/>
        <v>5808050</v>
      </c>
      <c r="U300" s="458"/>
      <c r="V300" s="458"/>
      <c r="W300" s="458"/>
      <c r="X300" s="458">
        <f t="shared" ref="X300:AA300" si="282">SUM(X298:X299)</f>
        <v>-238506</v>
      </c>
      <c r="Y300" s="458"/>
      <c r="Z300" s="458">
        <f t="shared" si="282"/>
        <v>-238506</v>
      </c>
      <c r="AA300" s="458">
        <f t="shared" si="282"/>
        <v>5569544</v>
      </c>
      <c r="AB300" s="458"/>
      <c r="AC300" s="458"/>
      <c r="AD300" s="458"/>
      <c r="AE300" s="458">
        <f t="shared" ref="AE300" si="283">SUM(AE298:AE299)</f>
        <v>0</v>
      </c>
      <c r="AF300" s="458"/>
      <c r="AG300" s="458">
        <f t="shared" ref="AG300:AI300" si="284">SUM(AG298:AG299)</f>
        <v>0</v>
      </c>
      <c r="AH300" s="458">
        <f t="shared" si="284"/>
        <v>5569544</v>
      </c>
      <c r="AI300" s="458">
        <f t="shared" si="284"/>
        <v>2928499</v>
      </c>
      <c r="AJ300" s="770">
        <f>AI300/AH300*100</f>
        <v>52.580588285145069</v>
      </c>
    </row>
    <row r="301" spans="1:36" ht="14">
      <c r="A301" s="40"/>
      <c r="B301" s="40"/>
      <c r="C301" s="124"/>
      <c r="D301" s="124"/>
      <c r="E301" s="124"/>
      <c r="F301" s="451"/>
      <c r="G301" s="41"/>
      <c r="H301" s="66"/>
      <c r="I301" s="41"/>
      <c r="J301" s="126"/>
      <c r="K301" s="204"/>
      <c r="L301" s="205"/>
      <c r="M301" s="205"/>
      <c r="N301" s="205"/>
      <c r="O301" s="205"/>
      <c r="P301" s="205"/>
      <c r="Q301" s="205"/>
      <c r="R301" s="205"/>
      <c r="S301" s="205"/>
      <c r="T301" s="205"/>
      <c r="U301" s="205"/>
      <c r="V301" s="205"/>
      <c r="W301" s="205"/>
      <c r="X301" s="205"/>
      <c r="Y301" s="205"/>
      <c r="Z301" s="205"/>
      <c r="AA301" s="205"/>
      <c r="AB301" s="205"/>
      <c r="AC301" s="205"/>
      <c r="AD301" s="205"/>
      <c r="AE301" s="205"/>
      <c r="AF301" s="205"/>
      <c r="AG301" s="205"/>
      <c r="AH301" s="205"/>
      <c r="AI301" s="205"/>
      <c r="AJ301" s="747"/>
    </row>
    <row r="302" spans="1:36" ht="14">
      <c r="A302" s="40"/>
      <c r="B302" s="40">
        <v>3</v>
      </c>
      <c r="C302" s="124"/>
      <c r="D302" s="124"/>
      <c r="F302" s="451"/>
      <c r="G302" s="459" t="s">
        <v>143</v>
      </c>
      <c r="H302" s="66"/>
      <c r="I302" s="66"/>
      <c r="J302" s="452"/>
      <c r="K302" s="453"/>
      <c r="L302" s="454"/>
      <c r="M302" s="454"/>
      <c r="N302" s="454"/>
      <c r="O302" s="454"/>
      <c r="P302" s="454"/>
      <c r="Q302" s="454"/>
      <c r="R302" s="454"/>
      <c r="S302" s="454"/>
      <c r="T302" s="454"/>
      <c r="U302" s="454"/>
      <c r="V302" s="454"/>
      <c r="W302" s="454"/>
      <c r="X302" s="454"/>
      <c r="Y302" s="454"/>
      <c r="Z302" s="454"/>
      <c r="AA302" s="454"/>
      <c r="AB302" s="454"/>
      <c r="AC302" s="454"/>
      <c r="AD302" s="454"/>
      <c r="AE302" s="454"/>
      <c r="AF302" s="454"/>
      <c r="AG302" s="454"/>
      <c r="AH302" s="454"/>
      <c r="AI302" s="454"/>
      <c r="AJ302" s="769"/>
    </row>
    <row r="303" spans="1:36" ht="14">
      <c r="A303" s="40"/>
      <c r="B303" s="40"/>
      <c r="C303" s="124">
        <v>1</v>
      </c>
      <c r="D303" s="124"/>
      <c r="E303" s="124"/>
      <c r="F303" s="451"/>
      <c r="G303" s="41"/>
      <c r="H303" s="66" t="s">
        <v>35</v>
      </c>
      <c r="I303" s="66"/>
      <c r="J303" s="452"/>
      <c r="K303" s="453"/>
      <c r="L303" s="454"/>
      <c r="M303" s="454"/>
      <c r="N303" s="454"/>
      <c r="O303" s="454"/>
      <c r="P303" s="454"/>
      <c r="Q303" s="454"/>
      <c r="R303" s="454"/>
      <c r="S303" s="454"/>
      <c r="T303" s="454"/>
      <c r="U303" s="454"/>
      <c r="V303" s="454"/>
      <c r="W303" s="454"/>
      <c r="X303" s="454"/>
      <c r="Y303" s="454"/>
      <c r="Z303" s="454"/>
      <c r="AA303" s="454"/>
      <c r="AB303" s="454"/>
      <c r="AC303" s="454"/>
      <c r="AD303" s="454"/>
      <c r="AE303" s="454"/>
      <c r="AF303" s="454"/>
      <c r="AG303" s="454"/>
      <c r="AH303" s="454"/>
      <c r="AI303" s="454"/>
      <c r="AJ303" s="769"/>
    </row>
    <row r="304" spans="1:36" ht="14">
      <c r="A304" s="40"/>
      <c r="B304" s="40"/>
      <c r="C304" s="124"/>
      <c r="D304" s="124">
        <v>3</v>
      </c>
      <c r="E304" s="124" t="s">
        <v>199</v>
      </c>
      <c r="F304" s="451"/>
      <c r="G304" s="41"/>
      <c r="H304" s="66"/>
      <c r="I304" s="66" t="s">
        <v>116</v>
      </c>
      <c r="J304" s="452">
        <v>3000000</v>
      </c>
      <c r="K304" s="453"/>
      <c r="L304" s="217">
        <f>SUM(J304:K304)</f>
        <v>3000000</v>
      </c>
      <c r="M304" s="217"/>
      <c r="N304" s="217"/>
      <c r="O304" s="217"/>
      <c r="P304" s="217"/>
      <c r="Q304" s="217"/>
      <c r="R304" s="217"/>
      <c r="S304" s="217">
        <f t="shared" ref="S304" si="285">SUM(M304:R304)</f>
        <v>0</v>
      </c>
      <c r="T304" s="217">
        <f t="shared" ref="T304" si="286">S304+L304</f>
        <v>3000000</v>
      </c>
      <c r="U304" s="217"/>
      <c r="V304" s="217"/>
      <c r="W304" s="217"/>
      <c r="X304" s="217">
        <v>-133985</v>
      </c>
      <c r="Y304" s="217"/>
      <c r="Z304" s="217">
        <f>SUM(U304:Y304)</f>
        <v>-133985</v>
      </c>
      <c r="AA304" s="217">
        <f>Z304+T304</f>
        <v>2866015</v>
      </c>
      <c r="AB304" s="217"/>
      <c r="AC304" s="217"/>
      <c r="AD304" s="217"/>
      <c r="AE304" s="217">
        <v>-871418</v>
      </c>
      <c r="AF304" s="217"/>
      <c r="AG304" s="217">
        <f t="shared" ref="AG304" si="287">SUM(AB304:AF304)</f>
        <v>-871418</v>
      </c>
      <c r="AH304" s="217">
        <f t="shared" ref="AH304" si="288">AG304+AA304</f>
        <v>1994597</v>
      </c>
      <c r="AI304" s="217"/>
      <c r="AJ304" s="764">
        <f>AI304/AH304*100</f>
        <v>0</v>
      </c>
    </row>
    <row r="305" spans="1:36" ht="14">
      <c r="A305" s="40"/>
      <c r="B305" s="40"/>
      <c r="C305" s="124"/>
      <c r="D305" s="124"/>
      <c r="E305" s="124"/>
      <c r="F305" s="451"/>
      <c r="G305" s="41"/>
      <c r="H305" s="66"/>
      <c r="I305" s="66"/>
      <c r="J305" s="452"/>
      <c r="K305" s="453"/>
      <c r="L305" s="454"/>
      <c r="M305" s="454"/>
      <c r="N305" s="454"/>
      <c r="O305" s="454"/>
      <c r="P305" s="454"/>
      <c r="Q305" s="454"/>
      <c r="R305" s="454"/>
      <c r="S305" s="454"/>
      <c r="T305" s="454"/>
      <c r="U305" s="454"/>
      <c r="V305" s="454"/>
      <c r="W305" s="454"/>
      <c r="X305" s="454"/>
      <c r="Y305" s="454"/>
      <c r="Z305" s="454"/>
      <c r="AA305" s="454"/>
      <c r="AB305" s="454"/>
      <c r="AC305" s="454"/>
      <c r="AD305" s="454"/>
      <c r="AE305" s="454"/>
      <c r="AF305" s="454"/>
      <c r="AG305" s="454"/>
      <c r="AH305" s="454"/>
      <c r="AI305" s="454"/>
      <c r="AJ305" s="769"/>
    </row>
    <row r="306" spans="1:36" ht="14">
      <c r="A306" s="40"/>
      <c r="B306" s="40"/>
      <c r="C306" s="124"/>
      <c r="D306" s="124"/>
      <c r="E306" s="124"/>
      <c r="F306" s="173"/>
      <c r="G306" s="64"/>
      <c r="H306" s="65"/>
      <c r="I306" s="64" t="s">
        <v>38</v>
      </c>
      <c r="J306" s="333">
        <f>SUM(J302:J305)</f>
        <v>3000000</v>
      </c>
      <c r="K306" s="457"/>
      <c r="L306" s="458">
        <f>SUM(L302:L305)</f>
        <v>3000000</v>
      </c>
      <c r="M306" s="458">
        <f t="shared" ref="M306:T306" si="289">SUM(M302:M305)</f>
        <v>0</v>
      </c>
      <c r="N306" s="458">
        <f t="shared" si="289"/>
        <v>0</v>
      </c>
      <c r="O306" s="458">
        <f t="shared" si="289"/>
        <v>0</v>
      </c>
      <c r="P306" s="458">
        <f t="shared" si="289"/>
        <v>0</v>
      </c>
      <c r="Q306" s="458">
        <f t="shared" si="289"/>
        <v>0</v>
      </c>
      <c r="R306" s="458">
        <f t="shared" si="289"/>
        <v>0</v>
      </c>
      <c r="S306" s="458">
        <f t="shared" si="289"/>
        <v>0</v>
      </c>
      <c r="T306" s="458">
        <f t="shared" si="289"/>
        <v>3000000</v>
      </c>
      <c r="U306" s="458"/>
      <c r="V306" s="458"/>
      <c r="W306" s="458"/>
      <c r="X306" s="458">
        <f t="shared" ref="X306:AA306" si="290">SUM(X302:X305)</f>
        <v>-133985</v>
      </c>
      <c r="Y306" s="458"/>
      <c r="Z306" s="458">
        <f t="shared" si="290"/>
        <v>-133985</v>
      </c>
      <c r="AA306" s="458">
        <f t="shared" si="290"/>
        <v>2866015</v>
      </c>
      <c r="AB306" s="458"/>
      <c r="AC306" s="458"/>
      <c r="AD306" s="458"/>
      <c r="AE306" s="458">
        <f t="shared" ref="AE306" si="291">SUM(AE302:AE305)</f>
        <v>-871418</v>
      </c>
      <c r="AF306" s="458"/>
      <c r="AG306" s="458">
        <f t="shared" ref="AG306:AH306" si="292">SUM(AG302:AG305)</f>
        <v>-871418</v>
      </c>
      <c r="AH306" s="458">
        <f t="shared" si="292"/>
        <v>1994597</v>
      </c>
      <c r="AI306" s="458"/>
      <c r="AJ306" s="770">
        <f>AI306/AH306*100</f>
        <v>0</v>
      </c>
    </row>
    <row r="307" spans="1:36" ht="14">
      <c r="A307" s="40"/>
      <c r="B307" s="40"/>
      <c r="C307" s="124"/>
      <c r="D307" s="124"/>
      <c r="E307" s="124"/>
      <c r="F307" s="451"/>
      <c r="G307" s="41"/>
      <c r="H307" s="66"/>
      <c r="I307" s="41"/>
      <c r="J307" s="126"/>
      <c r="K307" s="204"/>
      <c r="L307" s="205"/>
      <c r="M307" s="205"/>
      <c r="N307" s="205"/>
      <c r="O307" s="205"/>
      <c r="P307" s="205"/>
      <c r="Q307" s="205"/>
      <c r="R307" s="205"/>
      <c r="S307" s="205"/>
      <c r="T307" s="205"/>
      <c r="U307" s="205"/>
      <c r="V307" s="205"/>
      <c r="W307" s="205"/>
      <c r="X307" s="205"/>
      <c r="Y307" s="205"/>
      <c r="Z307" s="205"/>
      <c r="AA307" s="205"/>
      <c r="AB307" s="205"/>
      <c r="AC307" s="205"/>
      <c r="AD307" s="205"/>
      <c r="AE307" s="205"/>
      <c r="AF307" s="205"/>
      <c r="AG307" s="205"/>
      <c r="AH307" s="205"/>
      <c r="AI307" s="205"/>
      <c r="AJ307" s="747"/>
    </row>
    <row r="308" spans="1:36" ht="14">
      <c r="A308" s="40"/>
      <c r="B308" s="40">
        <v>4</v>
      </c>
      <c r="C308" s="124"/>
      <c r="D308" s="124"/>
      <c r="F308" s="451"/>
      <c r="G308" s="459" t="s">
        <v>156</v>
      </c>
      <c r="H308" s="66"/>
      <c r="I308" s="66"/>
      <c r="J308" s="452"/>
      <c r="K308" s="453"/>
      <c r="L308" s="454"/>
      <c r="M308" s="454"/>
      <c r="N308" s="454"/>
      <c r="O308" s="454"/>
      <c r="P308" s="454"/>
      <c r="Q308" s="454"/>
      <c r="R308" s="454"/>
      <c r="S308" s="454"/>
      <c r="T308" s="454"/>
      <c r="U308" s="454"/>
      <c r="V308" s="454"/>
      <c r="W308" s="454"/>
      <c r="X308" s="454"/>
      <c r="Y308" s="454"/>
      <c r="Z308" s="454"/>
      <c r="AA308" s="454"/>
      <c r="AB308" s="454"/>
      <c r="AC308" s="454"/>
      <c r="AD308" s="454"/>
      <c r="AE308" s="454"/>
      <c r="AF308" s="454"/>
      <c r="AG308" s="454"/>
      <c r="AH308" s="454"/>
      <c r="AI308" s="454"/>
      <c r="AJ308" s="769"/>
    </row>
    <row r="309" spans="1:36" ht="14">
      <c r="A309" s="40"/>
      <c r="B309" s="40"/>
      <c r="C309" s="124">
        <v>1</v>
      </c>
      <c r="D309" s="124"/>
      <c r="E309" s="124"/>
      <c r="F309" s="451"/>
      <c r="G309" s="41"/>
      <c r="H309" s="66" t="s">
        <v>35</v>
      </c>
      <c r="I309" s="66"/>
      <c r="J309" s="452"/>
      <c r="K309" s="453"/>
      <c r="L309" s="454"/>
      <c r="M309" s="454"/>
      <c r="N309" s="454"/>
      <c r="O309" s="454"/>
      <c r="P309" s="454"/>
      <c r="Q309" s="454"/>
      <c r="R309" s="454"/>
      <c r="S309" s="454"/>
      <c r="T309" s="454"/>
      <c r="U309" s="454"/>
      <c r="V309" s="454"/>
      <c r="W309" s="454"/>
      <c r="X309" s="454"/>
      <c r="Y309" s="454"/>
      <c r="Z309" s="454"/>
      <c r="AA309" s="454"/>
      <c r="AB309" s="454"/>
      <c r="AC309" s="454"/>
      <c r="AD309" s="454"/>
      <c r="AE309" s="454"/>
      <c r="AF309" s="454"/>
      <c r="AG309" s="454"/>
      <c r="AH309" s="454"/>
      <c r="AI309" s="454"/>
      <c r="AJ309" s="769"/>
    </row>
    <row r="310" spans="1:36" ht="14">
      <c r="A310" s="40"/>
      <c r="B310" s="40"/>
      <c r="C310" s="124"/>
      <c r="D310" s="124">
        <v>3</v>
      </c>
      <c r="E310" s="124" t="s">
        <v>199</v>
      </c>
      <c r="F310" s="451"/>
      <c r="G310" s="41"/>
      <c r="H310" s="66"/>
      <c r="I310" s="66" t="s">
        <v>116</v>
      </c>
      <c r="J310" s="452">
        <v>17793000</v>
      </c>
      <c r="K310" s="453"/>
      <c r="L310" s="217">
        <f>SUM(J310:K310)</f>
        <v>17793000</v>
      </c>
      <c r="M310" s="217"/>
      <c r="N310" s="217"/>
      <c r="O310" s="217"/>
      <c r="P310" s="217"/>
      <c r="Q310" s="217"/>
      <c r="R310" s="217"/>
      <c r="S310" s="217">
        <f t="shared" ref="S310" si="293">SUM(M310:R310)</f>
        <v>0</v>
      </c>
      <c r="T310" s="217">
        <f t="shared" ref="T310" si="294">S310+L310</f>
        <v>17793000</v>
      </c>
      <c r="U310" s="217"/>
      <c r="V310" s="217"/>
      <c r="W310" s="217"/>
      <c r="X310" s="217"/>
      <c r="Y310" s="217"/>
      <c r="Z310" s="217">
        <f>SUM(U310:Y310)</f>
        <v>0</v>
      </c>
      <c r="AA310" s="217">
        <f>Z310+T310</f>
        <v>17793000</v>
      </c>
      <c r="AB310" s="217"/>
      <c r="AC310" s="217"/>
      <c r="AD310" s="217"/>
      <c r="AE310" s="217"/>
      <c r="AF310" s="217"/>
      <c r="AG310" s="217">
        <f t="shared" ref="AG310" si="295">SUM(AB310:AF310)</f>
        <v>0</v>
      </c>
      <c r="AH310" s="217">
        <f t="shared" ref="AH310" si="296">AG310+AA310</f>
        <v>17793000</v>
      </c>
      <c r="AI310" s="217">
        <v>17314536</v>
      </c>
      <c r="AJ310" s="764">
        <f>AI310/AH310*100</f>
        <v>97.310942505479687</v>
      </c>
    </row>
    <row r="311" spans="1:36" ht="14">
      <c r="A311" s="40"/>
      <c r="B311" s="40"/>
      <c r="C311" s="124"/>
      <c r="D311" s="124"/>
      <c r="E311" s="124"/>
      <c r="F311" s="451"/>
      <c r="G311" s="41"/>
      <c r="H311" s="66"/>
      <c r="I311" s="66"/>
      <c r="J311" s="452"/>
      <c r="K311" s="453"/>
      <c r="L311" s="454"/>
      <c r="M311" s="454"/>
      <c r="N311" s="454"/>
      <c r="O311" s="454"/>
      <c r="P311" s="454"/>
      <c r="Q311" s="454"/>
      <c r="R311" s="454"/>
      <c r="S311" s="454"/>
      <c r="T311" s="454"/>
      <c r="U311" s="454"/>
      <c r="V311" s="454"/>
      <c r="W311" s="454"/>
      <c r="X311" s="454"/>
      <c r="Y311" s="454"/>
      <c r="Z311" s="454"/>
      <c r="AA311" s="454"/>
      <c r="AB311" s="454"/>
      <c r="AC311" s="454"/>
      <c r="AD311" s="454"/>
      <c r="AE311" s="454"/>
      <c r="AF311" s="454"/>
      <c r="AG311" s="454"/>
      <c r="AH311" s="454"/>
      <c r="AI311" s="454"/>
      <c r="AJ311" s="769"/>
    </row>
    <row r="312" spans="1:36" ht="14">
      <c r="A312" s="40"/>
      <c r="B312" s="40"/>
      <c r="C312" s="124"/>
      <c r="D312" s="124"/>
      <c r="E312" s="124"/>
      <c r="F312" s="173"/>
      <c r="G312" s="64"/>
      <c r="H312" s="65"/>
      <c r="I312" s="64" t="s">
        <v>38</v>
      </c>
      <c r="J312" s="333">
        <f>SUM(J308:J311)</f>
        <v>17793000</v>
      </c>
      <c r="K312" s="457"/>
      <c r="L312" s="458">
        <f>SUM(L308:L311)</f>
        <v>17793000</v>
      </c>
      <c r="M312" s="458">
        <f t="shared" ref="M312:T312" si="297">SUM(M308:M311)</f>
        <v>0</v>
      </c>
      <c r="N312" s="458">
        <f t="shared" si="297"/>
        <v>0</v>
      </c>
      <c r="O312" s="458">
        <f t="shared" si="297"/>
        <v>0</v>
      </c>
      <c r="P312" s="458">
        <f t="shared" si="297"/>
        <v>0</v>
      </c>
      <c r="Q312" s="458">
        <f t="shared" si="297"/>
        <v>0</v>
      </c>
      <c r="R312" s="458">
        <f t="shared" si="297"/>
        <v>0</v>
      </c>
      <c r="S312" s="458">
        <f t="shared" si="297"/>
        <v>0</v>
      </c>
      <c r="T312" s="458">
        <f t="shared" si="297"/>
        <v>17793000</v>
      </c>
      <c r="U312" s="458"/>
      <c r="V312" s="458"/>
      <c r="W312" s="458"/>
      <c r="X312" s="458"/>
      <c r="Y312" s="458"/>
      <c r="Z312" s="458">
        <f t="shared" ref="Z312:AA312" si="298">SUM(Z308:Z311)</f>
        <v>0</v>
      </c>
      <c r="AA312" s="458">
        <f t="shared" si="298"/>
        <v>17793000</v>
      </c>
      <c r="AB312" s="458"/>
      <c r="AC312" s="458"/>
      <c r="AD312" s="458"/>
      <c r="AE312" s="458"/>
      <c r="AF312" s="458"/>
      <c r="AG312" s="458">
        <f t="shared" ref="AG312:AI312" si="299">SUM(AG308:AG311)</f>
        <v>0</v>
      </c>
      <c r="AH312" s="458">
        <f t="shared" si="299"/>
        <v>17793000</v>
      </c>
      <c r="AI312" s="458">
        <f t="shared" si="299"/>
        <v>17314536</v>
      </c>
      <c r="AJ312" s="770">
        <f>AI312/AH312*100</f>
        <v>97.310942505479687</v>
      </c>
    </row>
    <row r="313" spans="1:36" ht="16" customHeight="1">
      <c r="A313" s="40"/>
      <c r="B313" s="40"/>
      <c r="C313" s="124"/>
      <c r="D313" s="124"/>
      <c r="E313" s="124"/>
      <c r="F313" s="451"/>
      <c r="G313" s="41"/>
      <c r="H313" s="66"/>
      <c r="I313" s="41"/>
      <c r="J313" s="126"/>
      <c r="K313" s="204"/>
      <c r="L313" s="205"/>
      <c r="M313" s="205"/>
      <c r="N313" s="205"/>
      <c r="O313" s="205"/>
      <c r="P313" s="205"/>
      <c r="Q313" s="205"/>
      <c r="R313" s="205"/>
      <c r="S313" s="205"/>
      <c r="T313" s="205"/>
      <c r="U313" s="205"/>
      <c r="V313" s="205"/>
      <c r="W313" s="205"/>
      <c r="X313" s="205"/>
      <c r="Y313" s="205"/>
      <c r="Z313" s="205"/>
      <c r="AA313" s="205"/>
      <c r="AB313" s="205"/>
      <c r="AC313" s="205"/>
      <c r="AD313" s="205"/>
      <c r="AE313" s="205"/>
      <c r="AF313" s="205"/>
      <c r="AG313" s="205"/>
      <c r="AH313" s="205"/>
      <c r="AI313" s="205"/>
      <c r="AJ313" s="747"/>
    </row>
    <row r="314" spans="1:36" ht="16" customHeight="1">
      <c r="A314" s="40"/>
      <c r="B314" s="40">
        <v>5</v>
      </c>
      <c r="C314" s="124"/>
      <c r="D314" s="124"/>
      <c r="F314" s="451"/>
      <c r="G314" s="459" t="s">
        <v>202</v>
      </c>
      <c r="H314" s="66"/>
      <c r="I314" s="66"/>
      <c r="J314" s="452"/>
      <c r="K314" s="453"/>
      <c r="L314" s="454"/>
      <c r="M314" s="454"/>
      <c r="N314" s="454"/>
      <c r="O314" s="454"/>
      <c r="P314" s="454"/>
      <c r="Q314" s="454"/>
      <c r="R314" s="454"/>
      <c r="S314" s="454"/>
      <c r="T314" s="454"/>
      <c r="U314" s="454"/>
      <c r="V314" s="454"/>
      <c r="W314" s="454"/>
      <c r="X314" s="454"/>
      <c r="Y314" s="454"/>
      <c r="Z314" s="454"/>
      <c r="AA314" s="454"/>
      <c r="AB314" s="454"/>
      <c r="AC314" s="454"/>
      <c r="AD314" s="454"/>
      <c r="AE314" s="454"/>
      <c r="AF314" s="454"/>
      <c r="AG314" s="454"/>
      <c r="AH314" s="454"/>
      <c r="AI314" s="454"/>
      <c r="AJ314" s="769"/>
    </row>
    <row r="315" spans="1:36" ht="16" customHeight="1">
      <c r="A315" s="40"/>
      <c r="B315" s="40"/>
      <c r="C315" s="124">
        <v>1</v>
      </c>
      <c r="D315" s="124"/>
      <c r="E315" s="124"/>
      <c r="F315" s="451"/>
      <c r="G315" s="41"/>
      <c r="H315" s="66" t="s">
        <v>35</v>
      </c>
      <c r="I315" s="66"/>
      <c r="J315" s="452"/>
      <c r="K315" s="453"/>
      <c r="L315" s="454"/>
      <c r="M315" s="454"/>
      <c r="N315" s="454"/>
      <c r="O315" s="454"/>
      <c r="P315" s="454"/>
      <c r="Q315" s="454"/>
      <c r="R315" s="454"/>
      <c r="S315" s="454"/>
      <c r="T315" s="454"/>
      <c r="U315" s="454"/>
      <c r="V315" s="454"/>
      <c r="W315" s="454"/>
      <c r="X315" s="454"/>
      <c r="Y315" s="454"/>
      <c r="Z315" s="454"/>
      <c r="AA315" s="454"/>
      <c r="AB315" s="454"/>
      <c r="AC315" s="454"/>
      <c r="AD315" s="454"/>
      <c r="AE315" s="454"/>
      <c r="AF315" s="454"/>
      <c r="AG315" s="454"/>
      <c r="AH315" s="454"/>
      <c r="AI315" s="454"/>
      <c r="AJ315" s="769"/>
    </row>
    <row r="316" spans="1:36" ht="16" customHeight="1">
      <c r="A316" s="40"/>
      <c r="B316" s="40"/>
      <c r="C316" s="124"/>
      <c r="D316" s="124">
        <v>3</v>
      </c>
      <c r="E316" s="124" t="s">
        <v>199</v>
      </c>
      <c r="F316" s="451"/>
      <c r="G316" s="41"/>
      <c r="H316" s="66"/>
      <c r="I316" s="66" t="s">
        <v>116</v>
      </c>
      <c r="J316" s="452">
        <v>180369000</v>
      </c>
      <c r="K316" s="453"/>
      <c r="L316" s="217">
        <f>SUM(J316:K316)</f>
        <v>180369000</v>
      </c>
      <c r="M316" s="217"/>
      <c r="N316" s="217"/>
      <c r="O316" s="217"/>
      <c r="P316" s="217"/>
      <c r="Q316" s="217"/>
      <c r="R316" s="217"/>
      <c r="S316" s="217">
        <f t="shared" ref="S316:S317" si="300">SUM(M316:R316)</f>
        <v>0</v>
      </c>
      <c r="T316" s="217">
        <f t="shared" ref="T316:T317" si="301">S316+L316</f>
        <v>180369000</v>
      </c>
      <c r="U316" s="217"/>
      <c r="V316" s="217"/>
      <c r="W316" s="217"/>
      <c r="X316" s="217"/>
      <c r="Y316" s="217"/>
      <c r="Z316" s="217">
        <f>SUM(U316:Y316)</f>
        <v>0</v>
      </c>
      <c r="AA316" s="217">
        <f>Z316+T316</f>
        <v>180369000</v>
      </c>
      <c r="AB316" s="217"/>
      <c r="AC316" s="217">
        <v>1178817</v>
      </c>
      <c r="AD316" s="217"/>
      <c r="AE316" s="217"/>
      <c r="AF316" s="217"/>
      <c r="AG316" s="217">
        <f t="shared" ref="AG316:AG317" si="302">SUM(AB316:AF316)</f>
        <v>1178817</v>
      </c>
      <c r="AH316" s="217">
        <f t="shared" ref="AH316:AH317" si="303">AG316+AA316</f>
        <v>181547817</v>
      </c>
      <c r="AI316" s="217">
        <v>181547817</v>
      </c>
      <c r="AJ316" s="764">
        <f t="shared" ref="AJ316:AJ317" si="304">AI316/AH316*100</f>
        <v>100</v>
      </c>
    </row>
    <row r="317" spans="1:36" ht="16" customHeight="1">
      <c r="A317" s="40"/>
      <c r="B317" s="40"/>
      <c r="C317" s="124"/>
      <c r="D317" s="124">
        <v>5</v>
      </c>
      <c r="E317" s="124" t="s">
        <v>198</v>
      </c>
      <c r="F317" s="451"/>
      <c r="G317" s="41"/>
      <c r="H317" s="66"/>
      <c r="I317" s="66" t="s">
        <v>185</v>
      </c>
      <c r="J317" s="452">
        <v>47000000</v>
      </c>
      <c r="K317" s="453"/>
      <c r="L317" s="217">
        <f>SUM(J317:K317)</f>
        <v>47000000</v>
      </c>
      <c r="M317" s="217"/>
      <c r="N317" s="217"/>
      <c r="O317" s="217"/>
      <c r="P317" s="217"/>
      <c r="Q317" s="217"/>
      <c r="R317" s="217"/>
      <c r="S317" s="217">
        <f t="shared" si="300"/>
        <v>0</v>
      </c>
      <c r="T317" s="217">
        <f t="shared" si="301"/>
        <v>47000000</v>
      </c>
      <c r="U317" s="217"/>
      <c r="V317" s="217"/>
      <c r="W317" s="217"/>
      <c r="X317" s="217"/>
      <c r="Y317" s="217"/>
      <c r="Z317" s="217">
        <f>SUM(U317:Y317)</f>
        <v>0</v>
      </c>
      <c r="AA317" s="217">
        <f>Z317+T317</f>
        <v>47000000</v>
      </c>
      <c r="AB317" s="217"/>
      <c r="AC317" s="217"/>
      <c r="AD317" s="217"/>
      <c r="AE317" s="217"/>
      <c r="AF317" s="217"/>
      <c r="AG317" s="217">
        <f t="shared" si="302"/>
        <v>0</v>
      </c>
      <c r="AH317" s="217">
        <f t="shared" si="303"/>
        <v>47000000</v>
      </c>
      <c r="AI317" s="217">
        <v>47000000</v>
      </c>
      <c r="AJ317" s="764">
        <f t="shared" si="304"/>
        <v>100</v>
      </c>
    </row>
    <row r="318" spans="1:36" ht="16" customHeight="1">
      <c r="A318" s="40"/>
      <c r="B318" s="40"/>
      <c r="C318" s="124"/>
      <c r="D318" s="124"/>
      <c r="E318" s="124"/>
      <c r="F318" s="451"/>
      <c r="G318" s="41"/>
      <c r="H318" s="66"/>
      <c r="I318" s="66"/>
      <c r="J318" s="452"/>
      <c r="K318" s="453"/>
      <c r="L318" s="454"/>
      <c r="M318" s="454"/>
      <c r="N318" s="454"/>
      <c r="O318" s="454"/>
      <c r="P318" s="454"/>
      <c r="Q318" s="454"/>
      <c r="R318" s="454"/>
      <c r="S318" s="454"/>
      <c r="T318" s="454"/>
      <c r="U318" s="454"/>
      <c r="V318" s="454"/>
      <c r="W318" s="454"/>
      <c r="X318" s="454"/>
      <c r="Y318" s="454"/>
      <c r="Z318" s="454"/>
      <c r="AA318" s="454"/>
      <c r="AB318" s="454"/>
      <c r="AC318" s="454"/>
      <c r="AD318" s="454"/>
      <c r="AE318" s="454"/>
      <c r="AF318" s="454"/>
      <c r="AG318" s="454"/>
      <c r="AH318" s="454"/>
      <c r="AI318" s="454"/>
      <c r="AJ318" s="769"/>
    </row>
    <row r="319" spans="1:36" ht="16" customHeight="1">
      <c r="A319" s="40"/>
      <c r="B319" s="40"/>
      <c r="C319" s="124"/>
      <c r="D319" s="124"/>
      <c r="E319" s="124"/>
      <c r="F319" s="173"/>
      <c r="G319" s="64"/>
      <c r="H319" s="65"/>
      <c r="I319" s="64" t="s">
        <v>38</v>
      </c>
      <c r="J319" s="333">
        <f>SUM(J314:J318)</f>
        <v>227369000</v>
      </c>
      <c r="K319" s="457"/>
      <c r="L319" s="458">
        <f>SUM(L314:L318)</f>
        <v>227369000</v>
      </c>
      <c r="M319" s="458">
        <f t="shared" ref="M319:T319" si="305">SUM(M314:M318)</f>
        <v>0</v>
      </c>
      <c r="N319" s="458">
        <f t="shared" si="305"/>
        <v>0</v>
      </c>
      <c r="O319" s="458">
        <f t="shared" si="305"/>
        <v>0</v>
      </c>
      <c r="P319" s="458">
        <f t="shared" si="305"/>
        <v>0</v>
      </c>
      <c r="Q319" s="458">
        <f t="shared" si="305"/>
        <v>0</v>
      </c>
      <c r="R319" s="458">
        <f t="shared" si="305"/>
        <v>0</v>
      </c>
      <c r="S319" s="458">
        <f t="shared" si="305"/>
        <v>0</v>
      </c>
      <c r="T319" s="458">
        <f t="shared" si="305"/>
        <v>227369000</v>
      </c>
      <c r="U319" s="458"/>
      <c r="V319" s="458"/>
      <c r="W319" s="458"/>
      <c r="X319" s="458"/>
      <c r="Y319" s="458"/>
      <c r="Z319" s="458">
        <f t="shared" ref="Z319:AC319" si="306">SUM(Z314:Z318)</f>
        <v>0</v>
      </c>
      <c r="AA319" s="458">
        <f t="shared" si="306"/>
        <v>227369000</v>
      </c>
      <c r="AB319" s="458"/>
      <c r="AC319" s="458">
        <f t="shared" si="306"/>
        <v>1178817</v>
      </c>
      <c r="AD319" s="458"/>
      <c r="AE319" s="458"/>
      <c r="AF319" s="458"/>
      <c r="AG319" s="458">
        <f t="shared" ref="AG319:AI319" si="307">SUM(AG314:AG318)</f>
        <v>1178817</v>
      </c>
      <c r="AH319" s="458">
        <f t="shared" si="307"/>
        <v>228547817</v>
      </c>
      <c r="AI319" s="458">
        <f t="shared" si="307"/>
        <v>228547817</v>
      </c>
      <c r="AJ319" s="770">
        <f>AI319/AH319*100</f>
        <v>100</v>
      </c>
    </row>
    <row r="320" spans="1:36" ht="14.5" customHeight="1">
      <c r="A320" s="40"/>
      <c r="B320" s="40"/>
      <c r="C320" s="124"/>
      <c r="D320" s="124"/>
      <c r="E320" s="124"/>
      <c r="F320" s="451"/>
      <c r="G320" s="41"/>
      <c r="H320" s="66"/>
      <c r="I320" s="41"/>
      <c r="J320" s="126"/>
      <c r="K320" s="204"/>
      <c r="L320" s="205"/>
      <c r="M320" s="205"/>
      <c r="N320" s="205"/>
      <c r="O320" s="205"/>
      <c r="P320" s="205"/>
      <c r="Q320" s="205"/>
      <c r="R320" s="205"/>
      <c r="S320" s="205"/>
      <c r="T320" s="205"/>
      <c r="U320" s="205"/>
      <c r="V320" s="205"/>
      <c r="W320" s="205"/>
      <c r="X320" s="205"/>
      <c r="Y320" s="205"/>
      <c r="Z320" s="205"/>
      <c r="AA320" s="205"/>
      <c r="AB320" s="205"/>
      <c r="AC320" s="205"/>
      <c r="AD320" s="205"/>
      <c r="AE320" s="205"/>
      <c r="AF320" s="205"/>
      <c r="AG320" s="205"/>
      <c r="AH320" s="205"/>
      <c r="AI320" s="205"/>
      <c r="AJ320" s="747"/>
    </row>
    <row r="321" spans="1:36" ht="14.5" customHeight="1">
      <c r="A321" s="40"/>
      <c r="B321" s="40">
        <v>6</v>
      </c>
      <c r="C321" s="124"/>
      <c r="D321" s="124"/>
      <c r="F321" s="451"/>
      <c r="G321" s="459" t="s">
        <v>139</v>
      </c>
      <c r="H321" s="66"/>
      <c r="I321" s="66"/>
      <c r="J321" s="452"/>
      <c r="K321" s="453"/>
      <c r="L321" s="454"/>
      <c r="M321" s="454"/>
      <c r="N321" s="454"/>
      <c r="O321" s="454"/>
      <c r="P321" s="454"/>
      <c r="Q321" s="454"/>
      <c r="R321" s="454"/>
      <c r="S321" s="454"/>
      <c r="T321" s="454"/>
      <c r="U321" s="454"/>
      <c r="V321" s="454"/>
      <c r="W321" s="454"/>
      <c r="X321" s="454"/>
      <c r="Y321" s="454"/>
      <c r="Z321" s="454"/>
      <c r="AA321" s="454"/>
      <c r="AB321" s="454"/>
      <c r="AC321" s="454"/>
      <c r="AD321" s="454"/>
      <c r="AE321" s="454"/>
      <c r="AF321" s="454"/>
      <c r="AG321" s="454"/>
      <c r="AH321" s="454"/>
      <c r="AI321" s="454"/>
      <c r="AJ321" s="769"/>
    </row>
    <row r="322" spans="1:36" ht="14.5" customHeight="1">
      <c r="A322" s="40"/>
      <c r="B322" s="40"/>
      <c r="C322" s="124">
        <v>1</v>
      </c>
      <c r="D322" s="124"/>
      <c r="E322" s="124"/>
      <c r="F322" s="451"/>
      <c r="G322" s="41"/>
      <c r="H322" s="66" t="s">
        <v>35</v>
      </c>
      <c r="I322" s="66"/>
      <c r="J322" s="452"/>
      <c r="K322" s="453"/>
      <c r="L322" s="454"/>
      <c r="M322" s="454"/>
      <c r="N322" s="454"/>
      <c r="O322" s="454"/>
      <c r="P322" s="454"/>
      <c r="Q322" s="454"/>
      <c r="R322" s="454"/>
      <c r="S322" s="454"/>
      <c r="T322" s="454"/>
      <c r="U322" s="454"/>
      <c r="V322" s="454"/>
      <c r="W322" s="454"/>
      <c r="X322" s="454"/>
      <c r="Y322" s="454"/>
      <c r="Z322" s="454"/>
      <c r="AA322" s="454"/>
      <c r="AB322" s="454"/>
      <c r="AC322" s="454"/>
      <c r="AD322" s="454"/>
      <c r="AE322" s="454"/>
      <c r="AF322" s="454"/>
      <c r="AG322" s="454"/>
      <c r="AH322" s="454"/>
      <c r="AI322" s="454"/>
      <c r="AJ322" s="769"/>
    </row>
    <row r="323" spans="1:36" ht="14.5" customHeight="1">
      <c r="A323" s="40"/>
      <c r="B323" s="40"/>
      <c r="C323" s="124"/>
      <c r="D323" s="124">
        <v>3</v>
      </c>
      <c r="E323" s="124" t="s">
        <v>198</v>
      </c>
      <c r="F323" s="451"/>
      <c r="G323" s="41"/>
      <c r="H323" s="66"/>
      <c r="I323" s="66" t="s">
        <v>116</v>
      </c>
      <c r="J323" s="452">
        <v>2000000</v>
      </c>
      <c r="K323" s="453"/>
      <c r="L323" s="217">
        <f>SUM(J323:K323)</f>
        <v>2000000</v>
      </c>
      <c r="M323" s="217"/>
      <c r="N323" s="217"/>
      <c r="O323" s="217"/>
      <c r="P323" s="217"/>
      <c r="Q323" s="217"/>
      <c r="R323" s="217"/>
      <c r="S323" s="217">
        <f t="shared" ref="S323" si="308">SUM(M323:R323)</f>
        <v>0</v>
      </c>
      <c r="T323" s="217">
        <f t="shared" ref="T323" si="309">S323+L323</f>
        <v>2000000</v>
      </c>
      <c r="U323" s="217"/>
      <c r="V323" s="217"/>
      <c r="W323" s="217"/>
      <c r="X323" s="217"/>
      <c r="Y323" s="217"/>
      <c r="Z323" s="217">
        <f>SUM(U323:Y323)</f>
        <v>0</v>
      </c>
      <c r="AA323" s="217">
        <f>Z323+T323</f>
        <v>2000000</v>
      </c>
      <c r="AB323" s="217"/>
      <c r="AC323" s="217"/>
      <c r="AD323" s="217"/>
      <c r="AE323" s="217">
        <v>550000</v>
      </c>
      <c r="AF323" s="217"/>
      <c r="AG323" s="217">
        <f t="shared" ref="AG323" si="310">SUM(AB323:AF323)</f>
        <v>550000</v>
      </c>
      <c r="AH323" s="217">
        <f t="shared" ref="AH323" si="311">AG323+AA323</f>
        <v>2550000</v>
      </c>
      <c r="AI323" s="217">
        <v>2550000</v>
      </c>
      <c r="AJ323" s="764">
        <f>AI323/AH323*100</f>
        <v>100</v>
      </c>
    </row>
    <row r="324" spans="1:36" ht="14.5" customHeight="1">
      <c r="A324" s="40"/>
      <c r="B324" s="40"/>
      <c r="C324" s="124"/>
      <c r="D324" s="124"/>
      <c r="E324" s="124"/>
      <c r="F324" s="451"/>
      <c r="G324" s="41"/>
      <c r="H324" s="66"/>
      <c r="I324" s="66"/>
      <c r="J324" s="452"/>
      <c r="K324" s="453"/>
      <c r="L324" s="454"/>
      <c r="M324" s="454"/>
      <c r="N324" s="454"/>
      <c r="O324" s="454"/>
      <c r="P324" s="454"/>
      <c r="Q324" s="454"/>
      <c r="R324" s="454"/>
      <c r="S324" s="454"/>
      <c r="T324" s="454"/>
      <c r="U324" s="454"/>
      <c r="V324" s="454"/>
      <c r="W324" s="454"/>
      <c r="X324" s="454"/>
      <c r="Y324" s="454"/>
      <c r="Z324" s="454"/>
      <c r="AA324" s="454"/>
      <c r="AB324" s="454"/>
      <c r="AC324" s="454"/>
      <c r="AD324" s="454"/>
      <c r="AE324" s="454"/>
      <c r="AF324" s="454"/>
      <c r="AG324" s="454"/>
      <c r="AH324" s="454"/>
      <c r="AI324" s="454"/>
      <c r="AJ324" s="769"/>
    </row>
    <row r="325" spans="1:36" ht="14.5" customHeight="1">
      <c r="A325" s="40"/>
      <c r="B325" s="40"/>
      <c r="C325" s="124"/>
      <c r="D325" s="124"/>
      <c r="E325" s="124"/>
      <c r="F325" s="173"/>
      <c r="G325" s="64"/>
      <c r="H325" s="65"/>
      <c r="I325" s="64" t="s">
        <v>38</v>
      </c>
      <c r="J325" s="333">
        <f>SUM(J321:J324)</f>
        <v>2000000</v>
      </c>
      <c r="K325" s="457"/>
      <c r="L325" s="458">
        <f>SUM(L321:L324)</f>
        <v>2000000</v>
      </c>
      <c r="M325" s="458">
        <f t="shared" ref="M325:T325" si="312">SUM(M321:M324)</f>
        <v>0</v>
      </c>
      <c r="N325" s="458">
        <f t="shared" si="312"/>
        <v>0</v>
      </c>
      <c r="O325" s="458">
        <f t="shared" si="312"/>
        <v>0</v>
      </c>
      <c r="P325" s="458">
        <f t="shared" si="312"/>
        <v>0</v>
      </c>
      <c r="Q325" s="458">
        <f t="shared" si="312"/>
        <v>0</v>
      </c>
      <c r="R325" s="458">
        <f t="shared" si="312"/>
        <v>0</v>
      </c>
      <c r="S325" s="458">
        <f t="shared" si="312"/>
        <v>0</v>
      </c>
      <c r="T325" s="458">
        <f t="shared" si="312"/>
        <v>2000000</v>
      </c>
      <c r="U325" s="458"/>
      <c r="V325" s="458"/>
      <c r="W325" s="458"/>
      <c r="X325" s="458"/>
      <c r="Y325" s="458"/>
      <c r="Z325" s="458">
        <f t="shared" ref="Z325:AA325" si="313">SUM(Z321:Z324)</f>
        <v>0</v>
      </c>
      <c r="AA325" s="458">
        <f t="shared" si="313"/>
        <v>2000000</v>
      </c>
      <c r="AB325" s="458"/>
      <c r="AC325" s="458"/>
      <c r="AD325" s="458"/>
      <c r="AE325" s="458">
        <f t="shared" ref="AE325:AI325" si="314">SUM(AE321:AE324)</f>
        <v>550000</v>
      </c>
      <c r="AF325" s="458"/>
      <c r="AG325" s="458">
        <f t="shared" si="314"/>
        <v>550000</v>
      </c>
      <c r="AH325" s="458">
        <f t="shared" si="314"/>
        <v>2550000</v>
      </c>
      <c r="AI325" s="458">
        <f t="shared" si="314"/>
        <v>2550000</v>
      </c>
      <c r="AJ325" s="770">
        <f>AI325/AH325*100</f>
        <v>100</v>
      </c>
    </row>
    <row r="326" spans="1:36" ht="14.5" customHeight="1">
      <c r="A326" s="40"/>
      <c r="B326" s="40"/>
      <c r="C326" s="124"/>
      <c r="D326" s="124"/>
      <c r="E326" s="124"/>
      <c r="F326" s="451"/>
      <c r="G326" s="41"/>
      <c r="H326" s="66"/>
      <c r="I326" s="41"/>
      <c r="J326" s="126"/>
      <c r="K326" s="204"/>
      <c r="L326" s="205"/>
      <c r="M326" s="205"/>
      <c r="N326" s="205"/>
      <c r="O326" s="205"/>
      <c r="P326" s="205"/>
      <c r="Q326" s="205"/>
      <c r="R326" s="205"/>
      <c r="S326" s="205"/>
      <c r="T326" s="205"/>
      <c r="U326" s="205"/>
      <c r="V326" s="205"/>
      <c r="W326" s="205"/>
      <c r="X326" s="205"/>
      <c r="Y326" s="205"/>
      <c r="Z326" s="205"/>
      <c r="AA326" s="205"/>
      <c r="AB326" s="205"/>
      <c r="AC326" s="205"/>
      <c r="AD326" s="205"/>
      <c r="AE326" s="205"/>
      <c r="AF326" s="205"/>
      <c r="AG326" s="205"/>
      <c r="AH326" s="205"/>
      <c r="AI326" s="205"/>
      <c r="AJ326" s="747"/>
    </row>
    <row r="327" spans="1:36" ht="14.5" customHeight="1">
      <c r="A327" s="40"/>
      <c r="B327" s="40">
        <v>7</v>
      </c>
      <c r="C327" s="124"/>
      <c r="D327" s="124"/>
      <c r="F327" s="451"/>
      <c r="G327" s="459" t="s">
        <v>350</v>
      </c>
      <c r="H327" s="66"/>
      <c r="I327" s="66"/>
      <c r="J327" s="452"/>
      <c r="K327" s="453"/>
      <c r="L327" s="454"/>
      <c r="M327" s="454"/>
      <c r="N327" s="454"/>
      <c r="O327" s="454"/>
      <c r="P327" s="454"/>
      <c r="Q327" s="454"/>
      <c r="R327" s="454"/>
      <c r="S327" s="454"/>
      <c r="T327" s="454"/>
      <c r="U327" s="454"/>
      <c r="V327" s="454"/>
      <c r="W327" s="454"/>
      <c r="X327" s="454"/>
      <c r="Y327" s="454"/>
      <c r="Z327" s="454"/>
      <c r="AA327" s="454"/>
      <c r="AB327" s="454"/>
      <c r="AC327" s="454"/>
      <c r="AD327" s="454"/>
      <c r="AE327" s="454"/>
      <c r="AF327" s="454"/>
      <c r="AG327" s="454"/>
      <c r="AH327" s="454"/>
      <c r="AI327" s="454"/>
      <c r="AJ327" s="769"/>
    </row>
    <row r="328" spans="1:36" ht="14.5" customHeight="1">
      <c r="A328" s="40"/>
      <c r="B328" s="40"/>
      <c r="C328" s="124">
        <v>1</v>
      </c>
      <c r="D328" s="124"/>
      <c r="E328" s="124"/>
      <c r="F328" s="451"/>
      <c r="G328" s="41"/>
      <c r="H328" s="66" t="s">
        <v>35</v>
      </c>
      <c r="I328" s="66"/>
      <c r="J328" s="452"/>
      <c r="K328" s="453"/>
      <c r="L328" s="454"/>
      <c r="M328" s="454"/>
      <c r="N328" s="454"/>
      <c r="O328" s="454"/>
      <c r="P328" s="454"/>
      <c r="Q328" s="454"/>
      <c r="R328" s="454"/>
      <c r="S328" s="454"/>
      <c r="T328" s="454"/>
      <c r="U328" s="454"/>
      <c r="V328" s="454"/>
      <c r="W328" s="454"/>
      <c r="X328" s="454"/>
      <c r="Y328" s="454"/>
      <c r="Z328" s="454"/>
      <c r="AA328" s="454"/>
      <c r="AB328" s="454"/>
      <c r="AC328" s="454"/>
      <c r="AD328" s="454"/>
      <c r="AE328" s="454"/>
      <c r="AF328" s="454"/>
      <c r="AG328" s="454"/>
      <c r="AH328" s="454"/>
      <c r="AI328" s="454"/>
      <c r="AJ328" s="769"/>
    </row>
    <row r="329" spans="1:36" ht="14.5" customHeight="1">
      <c r="A329" s="40"/>
      <c r="B329" s="40"/>
      <c r="C329" s="124"/>
      <c r="D329" s="124">
        <v>3</v>
      </c>
      <c r="E329" s="124" t="s">
        <v>198</v>
      </c>
      <c r="F329" s="451"/>
      <c r="G329" s="41"/>
      <c r="H329" s="66"/>
      <c r="I329" s="66" t="s">
        <v>116</v>
      </c>
      <c r="J329" s="452">
        <v>1000000</v>
      </c>
      <c r="K329" s="453"/>
      <c r="L329" s="217">
        <f>SUM(J329:K329)</f>
        <v>1000000</v>
      </c>
      <c r="M329" s="217"/>
      <c r="N329" s="217"/>
      <c r="O329" s="217"/>
      <c r="P329" s="217"/>
      <c r="Q329" s="217"/>
      <c r="R329" s="217"/>
      <c r="S329" s="217">
        <f t="shared" ref="S329" si="315">SUM(M329:R329)</f>
        <v>0</v>
      </c>
      <c r="T329" s="217">
        <f t="shared" ref="T329" si="316">S329+L329</f>
        <v>1000000</v>
      </c>
      <c r="U329" s="217"/>
      <c r="V329" s="217"/>
      <c r="W329" s="217"/>
      <c r="X329" s="217"/>
      <c r="Y329" s="217"/>
      <c r="Z329" s="217">
        <f>SUM(U329:Y329)</f>
        <v>0</v>
      </c>
      <c r="AA329" s="217">
        <f>Z329+T329</f>
        <v>1000000</v>
      </c>
      <c r="AB329" s="217"/>
      <c r="AC329" s="217"/>
      <c r="AD329" s="217"/>
      <c r="AE329" s="217">
        <v>-550000</v>
      </c>
      <c r="AF329" s="217"/>
      <c r="AG329" s="217">
        <f t="shared" ref="AG329" si="317">SUM(AB329:AF329)</f>
        <v>-550000</v>
      </c>
      <c r="AH329" s="217">
        <f t="shared" ref="AH329" si="318">AG329+AA329</f>
        <v>450000</v>
      </c>
      <c r="AI329" s="217">
        <v>31750</v>
      </c>
      <c r="AJ329" s="764">
        <f>AI329/AH329*100</f>
        <v>7.0555555555555554</v>
      </c>
    </row>
    <row r="330" spans="1:36" ht="14.5" customHeight="1">
      <c r="A330" s="40"/>
      <c r="B330" s="40"/>
      <c r="C330" s="124"/>
      <c r="D330" s="124"/>
      <c r="E330" s="124"/>
      <c r="F330" s="451"/>
      <c r="G330" s="41"/>
      <c r="H330" s="66"/>
      <c r="I330" s="66"/>
      <c r="J330" s="452"/>
      <c r="K330" s="453"/>
      <c r="L330" s="454"/>
      <c r="M330" s="454"/>
      <c r="N330" s="454"/>
      <c r="O330" s="454"/>
      <c r="P330" s="454"/>
      <c r="Q330" s="454"/>
      <c r="R330" s="454"/>
      <c r="S330" s="454"/>
      <c r="T330" s="454"/>
      <c r="U330" s="454"/>
      <c r="V330" s="454"/>
      <c r="W330" s="454"/>
      <c r="X330" s="454"/>
      <c r="Y330" s="454"/>
      <c r="Z330" s="454"/>
      <c r="AA330" s="454"/>
      <c r="AB330" s="454"/>
      <c r="AC330" s="454"/>
      <c r="AD330" s="454"/>
      <c r="AE330" s="454"/>
      <c r="AF330" s="454"/>
      <c r="AG330" s="454"/>
      <c r="AH330" s="454"/>
      <c r="AI330" s="454"/>
      <c r="AJ330" s="769"/>
    </row>
    <row r="331" spans="1:36" ht="14.5" customHeight="1">
      <c r="A331" s="40"/>
      <c r="B331" s="40"/>
      <c r="C331" s="124"/>
      <c r="D331" s="124"/>
      <c r="E331" s="124"/>
      <c r="F331" s="173"/>
      <c r="G331" s="64"/>
      <c r="H331" s="65"/>
      <c r="I331" s="64" t="s">
        <v>38</v>
      </c>
      <c r="J331" s="333">
        <f>SUM(J327:J330)</f>
        <v>1000000</v>
      </c>
      <c r="K331" s="457"/>
      <c r="L331" s="458">
        <f>SUM(L327:L330)</f>
        <v>1000000</v>
      </c>
      <c r="M331" s="458">
        <f t="shared" ref="M331:T331" si="319">SUM(M327:M330)</f>
        <v>0</v>
      </c>
      <c r="N331" s="458">
        <f t="shared" si="319"/>
        <v>0</v>
      </c>
      <c r="O331" s="458">
        <f t="shared" si="319"/>
        <v>0</v>
      </c>
      <c r="P331" s="458">
        <f t="shared" si="319"/>
        <v>0</v>
      </c>
      <c r="Q331" s="458">
        <f t="shared" si="319"/>
        <v>0</v>
      </c>
      <c r="R331" s="458">
        <f t="shared" si="319"/>
        <v>0</v>
      </c>
      <c r="S331" s="458">
        <f t="shared" si="319"/>
        <v>0</v>
      </c>
      <c r="T331" s="458">
        <f t="shared" si="319"/>
        <v>1000000</v>
      </c>
      <c r="U331" s="458"/>
      <c r="V331" s="458"/>
      <c r="W331" s="458"/>
      <c r="X331" s="458"/>
      <c r="Y331" s="458"/>
      <c r="Z331" s="458">
        <f t="shared" ref="Z331:AA331" si="320">SUM(Z327:Z330)</f>
        <v>0</v>
      </c>
      <c r="AA331" s="458">
        <f t="shared" si="320"/>
        <v>1000000</v>
      </c>
      <c r="AB331" s="458"/>
      <c r="AC331" s="458"/>
      <c r="AD331" s="458"/>
      <c r="AE331" s="458">
        <f t="shared" ref="AE331:AI331" si="321">SUM(AE327:AE330)</f>
        <v>-550000</v>
      </c>
      <c r="AF331" s="458"/>
      <c r="AG331" s="458">
        <f t="shared" si="321"/>
        <v>-550000</v>
      </c>
      <c r="AH331" s="458">
        <f t="shared" si="321"/>
        <v>450000</v>
      </c>
      <c r="AI331" s="458">
        <f t="shared" si="321"/>
        <v>31750</v>
      </c>
      <c r="AJ331" s="770">
        <f>AI331/AH331*100</f>
        <v>7.0555555555555554</v>
      </c>
    </row>
    <row r="332" spans="1:36" ht="14.5" customHeight="1">
      <c r="A332" s="40"/>
      <c r="B332" s="40"/>
      <c r="C332" s="124"/>
      <c r="D332" s="124"/>
      <c r="E332" s="124"/>
      <c r="F332" s="451"/>
      <c r="G332" s="41"/>
      <c r="H332" s="66"/>
      <c r="I332" s="41"/>
      <c r="J332" s="126"/>
      <c r="K332" s="204"/>
      <c r="L332" s="205"/>
      <c r="M332" s="205"/>
      <c r="N332" s="205"/>
      <c r="O332" s="205"/>
      <c r="P332" s="205"/>
      <c r="Q332" s="205"/>
      <c r="R332" s="205"/>
      <c r="S332" s="205"/>
      <c r="T332" s="205"/>
      <c r="U332" s="205"/>
      <c r="V332" s="205"/>
      <c r="W332" s="205"/>
      <c r="X332" s="205"/>
      <c r="Y332" s="205"/>
      <c r="Z332" s="205"/>
      <c r="AA332" s="205"/>
      <c r="AB332" s="205"/>
      <c r="AC332" s="205"/>
      <c r="AD332" s="205"/>
      <c r="AE332" s="205"/>
      <c r="AF332" s="205"/>
      <c r="AG332" s="205"/>
      <c r="AH332" s="205"/>
      <c r="AI332" s="205"/>
      <c r="AJ332" s="747"/>
    </row>
    <row r="333" spans="1:36" ht="14.5" customHeight="1">
      <c r="A333" s="40"/>
      <c r="B333" s="40">
        <v>8</v>
      </c>
      <c r="C333" s="124"/>
      <c r="D333" s="124"/>
      <c r="F333" s="451"/>
      <c r="G333" s="459" t="s">
        <v>29</v>
      </c>
      <c r="H333" s="66"/>
      <c r="I333" s="66"/>
      <c r="J333" s="452"/>
      <c r="K333" s="453"/>
      <c r="L333" s="454"/>
      <c r="M333" s="454"/>
      <c r="N333" s="454"/>
      <c r="O333" s="454"/>
      <c r="P333" s="454"/>
      <c r="Q333" s="454"/>
      <c r="R333" s="454"/>
      <c r="S333" s="454"/>
      <c r="T333" s="454"/>
      <c r="U333" s="454"/>
      <c r="V333" s="454"/>
      <c r="W333" s="454"/>
      <c r="X333" s="454"/>
      <c r="Y333" s="454"/>
      <c r="Z333" s="454"/>
      <c r="AA333" s="454"/>
      <c r="AB333" s="454"/>
      <c r="AC333" s="454"/>
      <c r="AD333" s="454"/>
      <c r="AE333" s="454"/>
      <c r="AF333" s="454"/>
      <c r="AG333" s="454"/>
      <c r="AH333" s="454"/>
      <c r="AI333" s="454"/>
      <c r="AJ333" s="769"/>
    </row>
    <row r="334" spans="1:36" ht="14.5" customHeight="1">
      <c r="A334" s="40"/>
      <c r="B334" s="40"/>
      <c r="C334" s="124">
        <v>1</v>
      </c>
      <c r="D334" s="124"/>
      <c r="E334" s="124"/>
      <c r="F334" s="451"/>
      <c r="G334" s="41"/>
      <c r="H334" s="66" t="s">
        <v>35</v>
      </c>
      <c r="I334" s="66"/>
      <c r="J334" s="452"/>
      <c r="K334" s="453"/>
      <c r="L334" s="454"/>
      <c r="M334" s="454"/>
      <c r="N334" s="454"/>
      <c r="O334" s="454"/>
      <c r="P334" s="454"/>
      <c r="Q334" s="454"/>
      <c r="R334" s="454"/>
      <c r="S334" s="454"/>
      <c r="T334" s="454"/>
      <c r="U334" s="454"/>
      <c r="V334" s="454"/>
      <c r="W334" s="454"/>
      <c r="X334" s="454"/>
      <c r="Y334" s="454"/>
      <c r="Z334" s="454"/>
      <c r="AA334" s="454"/>
      <c r="AB334" s="454"/>
      <c r="AC334" s="454"/>
      <c r="AD334" s="454"/>
      <c r="AE334" s="454"/>
      <c r="AF334" s="454"/>
      <c r="AG334" s="454"/>
      <c r="AH334" s="454"/>
      <c r="AI334" s="454"/>
      <c r="AJ334" s="769"/>
    </row>
    <row r="335" spans="1:36" ht="14.5" customHeight="1">
      <c r="A335" s="40"/>
      <c r="B335" s="40"/>
      <c r="C335" s="124"/>
      <c r="D335" s="124">
        <v>3</v>
      </c>
      <c r="E335" s="124" t="s">
        <v>198</v>
      </c>
      <c r="F335" s="451"/>
      <c r="G335" s="41"/>
      <c r="H335" s="66"/>
      <c r="I335" s="66" t="s">
        <v>116</v>
      </c>
      <c r="J335" s="452">
        <v>6000000</v>
      </c>
      <c r="K335" s="453"/>
      <c r="L335" s="217">
        <f>SUM(J335:K335)</f>
        <v>6000000</v>
      </c>
      <c r="M335" s="217">
        <v>7000000</v>
      </c>
      <c r="N335" s="217"/>
      <c r="O335" s="217"/>
      <c r="P335" s="217"/>
      <c r="Q335" s="217"/>
      <c r="R335" s="217"/>
      <c r="S335" s="217">
        <f t="shared" ref="S335" si="322">SUM(M335:R335)</f>
        <v>7000000</v>
      </c>
      <c r="T335" s="217">
        <f t="shared" ref="T335" si="323">S335+L335</f>
        <v>13000000</v>
      </c>
      <c r="U335" s="217"/>
      <c r="V335" s="217"/>
      <c r="W335" s="217"/>
      <c r="X335" s="217"/>
      <c r="Y335" s="217"/>
      <c r="Z335" s="217">
        <f>SUM(U335:Y335)</f>
        <v>0</v>
      </c>
      <c r="AA335" s="217">
        <f>Z335+T335</f>
        <v>13000000</v>
      </c>
      <c r="AB335" s="217"/>
      <c r="AC335" s="217"/>
      <c r="AD335" s="217"/>
      <c r="AE335" s="217">
        <v>-2354420</v>
      </c>
      <c r="AF335" s="217"/>
      <c r="AG335" s="217">
        <f t="shared" ref="AG335" si="324">SUM(AB335:AF335)</f>
        <v>-2354420</v>
      </c>
      <c r="AH335" s="217">
        <f t="shared" ref="AH335" si="325">AG335+AA335</f>
        <v>10645580</v>
      </c>
      <c r="AI335" s="217">
        <v>1890270</v>
      </c>
      <c r="AJ335" s="764">
        <f>AI335/AH335*100</f>
        <v>17.756383400434732</v>
      </c>
    </row>
    <row r="336" spans="1:36" ht="14.5" customHeight="1">
      <c r="A336" s="40"/>
      <c r="B336" s="40"/>
      <c r="C336" s="124"/>
      <c r="D336" s="124"/>
      <c r="E336" s="124"/>
      <c r="F336" s="451"/>
      <c r="G336" s="41"/>
      <c r="H336" s="66"/>
      <c r="I336" s="66"/>
      <c r="J336" s="452"/>
      <c r="K336" s="453"/>
      <c r="L336" s="454"/>
      <c r="M336" s="454"/>
      <c r="N336" s="454"/>
      <c r="O336" s="454"/>
      <c r="P336" s="454"/>
      <c r="Q336" s="454"/>
      <c r="R336" s="454"/>
      <c r="S336" s="454"/>
      <c r="T336" s="454"/>
      <c r="U336" s="454"/>
      <c r="V336" s="454"/>
      <c r="W336" s="454"/>
      <c r="X336" s="454"/>
      <c r="Y336" s="454"/>
      <c r="Z336" s="454"/>
      <c r="AA336" s="454"/>
      <c r="AB336" s="454"/>
      <c r="AC336" s="454"/>
      <c r="AD336" s="454"/>
      <c r="AE336" s="454"/>
      <c r="AF336" s="454"/>
      <c r="AG336" s="454"/>
      <c r="AH336" s="454"/>
      <c r="AI336" s="454"/>
      <c r="AJ336" s="769"/>
    </row>
    <row r="337" spans="1:36" ht="14.5" customHeight="1">
      <c r="A337" s="40"/>
      <c r="B337" s="40"/>
      <c r="C337" s="124"/>
      <c r="D337" s="124"/>
      <c r="E337" s="124"/>
      <c r="F337" s="173"/>
      <c r="G337" s="64"/>
      <c r="H337" s="65"/>
      <c r="I337" s="64" t="s">
        <v>38</v>
      </c>
      <c r="J337" s="333">
        <f>SUM(J333:J336)</f>
        <v>6000000</v>
      </c>
      <c r="K337" s="457"/>
      <c r="L337" s="458">
        <f>SUM(L333:L336)</f>
        <v>6000000</v>
      </c>
      <c r="M337" s="458">
        <f>SUM(M335:M336)</f>
        <v>7000000</v>
      </c>
      <c r="N337" s="458">
        <f t="shared" ref="N337:T337" si="326">SUM(N335:N336)</f>
        <v>0</v>
      </c>
      <c r="O337" s="458">
        <f t="shared" si="326"/>
        <v>0</v>
      </c>
      <c r="P337" s="458">
        <f t="shared" si="326"/>
        <v>0</v>
      </c>
      <c r="Q337" s="458">
        <f t="shared" si="326"/>
        <v>0</v>
      </c>
      <c r="R337" s="458">
        <f t="shared" si="326"/>
        <v>0</v>
      </c>
      <c r="S337" s="458">
        <f t="shared" si="326"/>
        <v>7000000</v>
      </c>
      <c r="T337" s="458">
        <f t="shared" si="326"/>
        <v>13000000</v>
      </c>
      <c r="U337" s="458"/>
      <c r="V337" s="458"/>
      <c r="W337" s="458"/>
      <c r="X337" s="458"/>
      <c r="Y337" s="458"/>
      <c r="Z337" s="458">
        <f t="shared" ref="Z337:AA337" si="327">SUM(Z335:Z336)</f>
        <v>0</v>
      </c>
      <c r="AA337" s="458">
        <f t="shared" si="327"/>
        <v>13000000</v>
      </c>
      <c r="AB337" s="458"/>
      <c r="AC337" s="458"/>
      <c r="AD337" s="458"/>
      <c r="AE337" s="458">
        <f t="shared" ref="AE337:AI337" si="328">SUM(AE335:AE336)</f>
        <v>-2354420</v>
      </c>
      <c r="AF337" s="458"/>
      <c r="AG337" s="458">
        <f t="shared" si="328"/>
        <v>-2354420</v>
      </c>
      <c r="AH337" s="458">
        <f t="shared" si="328"/>
        <v>10645580</v>
      </c>
      <c r="AI337" s="458">
        <f t="shared" si="328"/>
        <v>1890270</v>
      </c>
      <c r="AJ337" s="770">
        <f>AI337/AH337*100</f>
        <v>17.756383400434732</v>
      </c>
    </row>
    <row r="338" spans="1:36" ht="14.5" customHeight="1">
      <c r="A338" s="40"/>
      <c r="B338" s="40"/>
      <c r="C338" s="124"/>
      <c r="D338" s="124"/>
      <c r="E338" s="124"/>
      <c r="F338" s="451"/>
      <c r="G338" s="41"/>
      <c r="H338" s="66"/>
      <c r="I338" s="41"/>
      <c r="J338" s="126"/>
      <c r="K338" s="204"/>
      <c r="L338" s="205"/>
      <c r="M338" s="205"/>
      <c r="N338" s="205"/>
      <c r="O338" s="205"/>
      <c r="P338" s="205"/>
      <c r="Q338" s="205"/>
      <c r="R338" s="205"/>
      <c r="S338" s="205"/>
      <c r="T338" s="205"/>
      <c r="U338" s="205"/>
      <c r="V338" s="205"/>
      <c r="W338" s="205"/>
      <c r="X338" s="205"/>
      <c r="Y338" s="205"/>
      <c r="Z338" s="205"/>
      <c r="AA338" s="205"/>
      <c r="AB338" s="205"/>
      <c r="AC338" s="205"/>
      <c r="AD338" s="205"/>
      <c r="AE338" s="205"/>
      <c r="AF338" s="205"/>
      <c r="AG338" s="205"/>
      <c r="AH338" s="205"/>
      <c r="AI338" s="205"/>
      <c r="AJ338" s="747"/>
    </row>
    <row r="339" spans="1:36" ht="14.5" customHeight="1">
      <c r="A339" s="40"/>
      <c r="B339" s="40">
        <v>9</v>
      </c>
      <c r="C339" s="124"/>
      <c r="D339" s="124"/>
      <c r="F339" s="451"/>
      <c r="G339" s="459" t="s">
        <v>434</v>
      </c>
      <c r="H339" s="66"/>
      <c r="I339" s="66"/>
      <c r="J339" s="452"/>
      <c r="K339" s="453"/>
      <c r="L339" s="454"/>
      <c r="M339" s="454"/>
      <c r="N339" s="454"/>
      <c r="O339" s="454"/>
      <c r="P339" s="454"/>
      <c r="Q339" s="454"/>
      <c r="R339" s="454"/>
      <c r="S339" s="454"/>
      <c r="T339" s="454"/>
      <c r="U339" s="454"/>
      <c r="V339" s="454"/>
      <c r="W339" s="454"/>
      <c r="X339" s="454"/>
      <c r="Y339" s="454"/>
      <c r="Z339" s="454"/>
      <c r="AA339" s="454"/>
      <c r="AB339" s="454"/>
      <c r="AC339" s="454"/>
      <c r="AD339" s="454"/>
      <c r="AE339" s="454"/>
      <c r="AF339" s="454"/>
      <c r="AG339" s="454"/>
      <c r="AH339" s="454"/>
      <c r="AI339" s="454"/>
      <c r="AJ339" s="769"/>
    </row>
    <row r="340" spans="1:36" ht="14.5" customHeight="1">
      <c r="A340" s="40"/>
      <c r="B340" s="40"/>
      <c r="C340" s="124">
        <v>1</v>
      </c>
      <c r="D340" s="124"/>
      <c r="E340" s="124"/>
      <c r="F340" s="451"/>
      <c r="G340" s="41"/>
      <c r="H340" s="66" t="s">
        <v>35</v>
      </c>
      <c r="I340" s="66"/>
      <c r="J340" s="452"/>
      <c r="K340" s="453"/>
      <c r="L340" s="454"/>
      <c r="M340" s="454"/>
      <c r="N340" s="454"/>
      <c r="O340" s="454"/>
      <c r="P340" s="454"/>
      <c r="Q340" s="454"/>
      <c r="R340" s="454"/>
      <c r="S340" s="454"/>
      <c r="T340" s="454"/>
      <c r="U340" s="454"/>
      <c r="V340" s="454"/>
      <c r="W340" s="454"/>
      <c r="X340" s="454"/>
      <c r="Y340" s="454"/>
      <c r="Z340" s="454"/>
      <c r="AA340" s="454"/>
      <c r="AB340" s="454"/>
      <c r="AC340" s="454"/>
      <c r="AD340" s="454"/>
      <c r="AE340" s="454"/>
      <c r="AF340" s="454"/>
      <c r="AG340" s="454"/>
      <c r="AH340" s="454"/>
      <c r="AI340" s="454"/>
      <c r="AJ340" s="769"/>
    </row>
    <row r="341" spans="1:36" ht="14.5" customHeight="1">
      <c r="A341" s="40"/>
      <c r="B341" s="40"/>
      <c r="C341" s="124"/>
      <c r="D341" s="124">
        <v>5</v>
      </c>
      <c r="E341" s="124" t="s">
        <v>199</v>
      </c>
      <c r="F341" s="451"/>
      <c r="G341" s="41"/>
      <c r="H341" s="66"/>
      <c r="I341" s="66" t="s">
        <v>185</v>
      </c>
      <c r="J341" s="452">
        <v>323700000</v>
      </c>
      <c r="K341" s="453"/>
      <c r="L341" s="217">
        <f>SUM(J341:K341)</f>
        <v>323700000</v>
      </c>
      <c r="M341" s="217">
        <v>110000000</v>
      </c>
      <c r="N341" s="217"/>
      <c r="O341" s="217">
        <v>-15000000</v>
      </c>
      <c r="P341" s="217"/>
      <c r="Q341" s="217"/>
      <c r="R341" s="217"/>
      <c r="S341" s="217">
        <f t="shared" ref="S341" si="329">SUM(M341:R341)</f>
        <v>95000000</v>
      </c>
      <c r="T341" s="217">
        <f t="shared" ref="T341" si="330">S341+L341</f>
        <v>418700000</v>
      </c>
      <c r="U341" s="217"/>
      <c r="V341" s="217"/>
      <c r="W341" s="217"/>
      <c r="X341" s="217"/>
      <c r="Y341" s="217"/>
      <c r="Z341" s="217">
        <f>SUM(U341:Y341)</f>
        <v>0</v>
      </c>
      <c r="AA341" s="217">
        <f>Z341+T341</f>
        <v>418700000</v>
      </c>
      <c r="AB341" s="217"/>
      <c r="AC341" s="217"/>
      <c r="AD341" s="217"/>
      <c r="AE341" s="217"/>
      <c r="AF341" s="217"/>
      <c r="AG341" s="217">
        <f t="shared" ref="AG341" si="331">SUM(AB341:AF341)</f>
        <v>0</v>
      </c>
      <c r="AH341" s="217">
        <f t="shared" ref="AH341" si="332">AG341+AA341</f>
        <v>418700000</v>
      </c>
      <c r="AI341" s="217">
        <v>347900500</v>
      </c>
      <c r="AJ341" s="764">
        <f>AI341/AH341*100</f>
        <v>83.090637688082154</v>
      </c>
    </row>
    <row r="342" spans="1:36" ht="14.5" customHeight="1">
      <c r="A342" s="40"/>
      <c r="B342" s="40"/>
      <c r="C342" s="124"/>
      <c r="D342" s="124"/>
      <c r="E342" s="124"/>
      <c r="F342" s="451"/>
      <c r="G342" s="41"/>
      <c r="H342" s="66"/>
      <c r="I342" s="66"/>
      <c r="J342" s="452"/>
      <c r="K342" s="453"/>
      <c r="L342" s="454"/>
      <c r="M342" s="454"/>
      <c r="N342" s="454"/>
      <c r="O342" s="454"/>
      <c r="P342" s="454"/>
      <c r="Q342" s="454"/>
      <c r="R342" s="454"/>
      <c r="S342" s="454"/>
      <c r="T342" s="454"/>
      <c r="U342" s="454"/>
      <c r="V342" s="454"/>
      <c r="W342" s="454"/>
      <c r="X342" s="454"/>
      <c r="Y342" s="454"/>
      <c r="Z342" s="454"/>
      <c r="AA342" s="454"/>
      <c r="AB342" s="454"/>
      <c r="AC342" s="454"/>
      <c r="AD342" s="454"/>
      <c r="AE342" s="454"/>
      <c r="AF342" s="454"/>
      <c r="AG342" s="454"/>
      <c r="AH342" s="454"/>
      <c r="AI342" s="454"/>
      <c r="AJ342" s="769"/>
    </row>
    <row r="343" spans="1:36" ht="14.5" customHeight="1">
      <c r="A343" s="40"/>
      <c r="B343" s="40"/>
      <c r="C343" s="124"/>
      <c r="D343" s="124"/>
      <c r="E343" s="124"/>
      <c r="F343" s="173"/>
      <c r="G343" s="64"/>
      <c r="H343" s="65"/>
      <c r="I343" s="64" t="s">
        <v>38</v>
      </c>
      <c r="J343" s="333">
        <f>SUM(J339:J342)</f>
        <v>323700000</v>
      </c>
      <c r="K343" s="457"/>
      <c r="L343" s="458">
        <f>SUM(L339:L342)</f>
        <v>323700000</v>
      </c>
      <c r="M343" s="458">
        <f>SUM(M341:M342)</f>
        <v>110000000</v>
      </c>
      <c r="N343" s="458">
        <f t="shared" ref="N343:T343" si="333">SUM(N341:N342)</f>
        <v>0</v>
      </c>
      <c r="O343" s="458">
        <f t="shared" si="333"/>
        <v>-15000000</v>
      </c>
      <c r="P343" s="458">
        <f t="shared" si="333"/>
        <v>0</v>
      </c>
      <c r="Q343" s="458">
        <f t="shared" si="333"/>
        <v>0</v>
      </c>
      <c r="R343" s="458">
        <f t="shared" si="333"/>
        <v>0</v>
      </c>
      <c r="S343" s="458">
        <f t="shared" si="333"/>
        <v>95000000</v>
      </c>
      <c r="T343" s="458">
        <f t="shared" si="333"/>
        <v>418700000</v>
      </c>
      <c r="U343" s="458"/>
      <c r="V343" s="458"/>
      <c r="W343" s="458"/>
      <c r="X343" s="458"/>
      <c r="Y343" s="458"/>
      <c r="Z343" s="458">
        <f t="shared" ref="Z343:AA343" si="334">SUM(Z341:Z342)</f>
        <v>0</v>
      </c>
      <c r="AA343" s="458">
        <f t="shared" si="334"/>
        <v>418700000</v>
      </c>
      <c r="AB343" s="458"/>
      <c r="AC343" s="458"/>
      <c r="AD343" s="458"/>
      <c r="AE343" s="458"/>
      <c r="AF343" s="458"/>
      <c r="AG343" s="458">
        <f t="shared" ref="AG343:AI343" si="335">SUM(AG341:AG342)</f>
        <v>0</v>
      </c>
      <c r="AH343" s="458">
        <f t="shared" si="335"/>
        <v>418700000</v>
      </c>
      <c r="AI343" s="458">
        <f t="shared" si="335"/>
        <v>347900500</v>
      </c>
      <c r="AJ343" s="770">
        <f>AI343/AH343*100</f>
        <v>83.090637688082154</v>
      </c>
    </row>
    <row r="344" spans="1:36" ht="14.5" customHeight="1">
      <c r="A344" s="40"/>
      <c r="B344" s="40"/>
      <c r="C344" s="124"/>
      <c r="D344" s="124"/>
      <c r="E344" s="124"/>
      <c r="F344" s="462"/>
      <c r="G344" s="41"/>
      <c r="H344" s="66"/>
      <c r="I344" s="41"/>
      <c r="J344" s="126"/>
      <c r="K344" s="204"/>
      <c r="L344" s="205"/>
      <c r="M344" s="205"/>
      <c r="N344" s="205"/>
      <c r="O344" s="205"/>
      <c r="P344" s="205"/>
      <c r="Q344" s="205"/>
      <c r="R344" s="205"/>
      <c r="S344" s="205"/>
      <c r="T344" s="205"/>
      <c r="U344" s="205"/>
      <c r="V344" s="205"/>
      <c r="W344" s="205"/>
      <c r="X344" s="205"/>
      <c r="Y344" s="205"/>
      <c r="Z344" s="205"/>
      <c r="AA344" s="205"/>
      <c r="AB344" s="205"/>
      <c r="AC344" s="205"/>
      <c r="AD344" s="205"/>
      <c r="AE344" s="205"/>
      <c r="AF344" s="205"/>
      <c r="AG344" s="205"/>
      <c r="AH344" s="205"/>
      <c r="AI344" s="205"/>
      <c r="AJ344" s="747"/>
    </row>
    <row r="345" spans="1:36" ht="16.5" customHeight="1">
      <c r="A345" s="40"/>
      <c r="B345" s="40">
        <v>10</v>
      </c>
      <c r="C345" s="124"/>
      <c r="D345" s="124"/>
      <c r="E345" s="124"/>
      <c r="F345" s="462"/>
      <c r="G345" s="41" t="s">
        <v>543</v>
      </c>
      <c r="H345" s="66"/>
      <c r="I345" s="41"/>
      <c r="J345" s="126"/>
      <c r="K345" s="204"/>
      <c r="L345" s="205"/>
      <c r="M345" s="205"/>
      <c r="N345" s="205"/>
      <c r="O345" s="205"/>
      <c r="P345" s="205"/>
      <c r="Q345" s="205"/>
      <c r="R345" s="205"/>
      <c r="S345" s="205"/>
      <c r="T345" s="205"/>
      <c r="U345" s="205"/>
      <c r="V345" s="205"/>
      <c r="W345" s="205"/>
      <c r="X345" s="205"/>
      <c r="Y345" s="205"/>
      <c r="Z345" s="205"/>
      <c r="AA345" s="205"/>
      <c r="AB345" s="205"/>
      <c r="AC345" s="205"/>
      <c r="AD345" s="205"/>
      <c r="AE345" s="205"/>
      <c r="AF345" s="205"/>
      <c r="AG345" s="205"/>
      <c r="AH345" s="205"/>
      <c r="AI345" s="205"/>
      <c r="AJ345" s="747"/>
    </row>
    <row r="346" spans="1:36" ht="16.5" customHeight="1">
      <c r="A346" s="40"/>
      <c r="B346" s="40"/>
      <c r="C346" s="124">
        <v>1</v>
      </c>
      <c r="D346" s="124"/>
      <c r="E346" s="124"/>
      <c r="F346" s="451"/>
      <c r="G346" s="41"/>
      <c r="H346" s="66" t="s">
        <v>35</v>
      </c>
      <c r="I346" s="66"/>
      <c r="J346" s="126"/>
      <c r="K346" s="204"/>
      <c r="L346" s="205"/>
      <c r="M346" s="205"/>
      <c r="N346" s="205"/>
      <c r="O346" s="205"/>
      <c r="P346" s="205"/>
      <c r="Q346" s="205"/>
      <c r="R346" s="205"/>
      <c r="S346" s="205"/>
      <c r="T346" s="205"/>
      <c r="U346" s="205"/>
      <c r="V346" s="205"/>
      <c r="W346" s="205"/>
      <c r="X346" s="205"/>
      <c r="Y346" s="205"/>
      <c r="Z346" s="205"/>
      <c r="AA346" s="205"/>
      <c r="AB346" s="205"/>
      <c r="AC346" s="205"/>
      <c r="AD346" s="205"/>
      <c r="AE346" s="205"/>
      <c r="AF346" s="205"/>
      <c r="AG346" s="205"/>
      <c r="AH346" s="205"/>
      <c r="AI346" s="205"/>
      <c r="AJ346" s="747"/>
    </row>
    <row r="347" spans="1:36" ht="16.5" customHeight="1">
      <c r="A347" s="40"/>
      <c r="B347" s="40"/>
      <c r="C347" s="124"/>
      <c r="D347" s="411">
        <v>1</v>
      </c>
      <c r="E347" s="124" t="s">
        <v>198</v>
      </c>
      <c r="F347" s="412"/>
      <c r="G347" s="36"/>
      <c r="H347" s="162"/>
      <c r="I347" s="162" t="s">
        <v>180</v>
      </c>
      <c r="J347" s="126"/>
      <c r="K347" s="204"/>
      <c r="L347" s="220"/>
      <c r="M347" s="220">
        <v>38800</v>
      </c>
      <c r="N347" s="220"/>
      <c r="O347" s="220"/>
      <c r="P347" s="220"/>
      <c r="Q347" s="220"/>
      <c r="R347" s="220"/>
      <c r="S347" s="217">
        <f t="shared" ref="S347:S349" si="336">SUM(M347:R347)</f>
        <v>38800</v>
      </c>
      <c r="T347" s="217">
        <f t="shared" ref="T347:T349" si="337">S347+L347</f>
        <v>38800</v>
      </c>
      <c r="U347" s="220"/>
      <c r="V347" s="220"/>
      <c r="W347" s="220"/>
      <c r="X347" s="220"/>
      <c r="Y347" s="220"/>
      <c r="Z347" s="217">
        <f>SUM(U347:Y347)</f>
        <v>0</v>
      </c>
      <c r="AA347" s="217">
        <f>Z347+T347</f>
        <v>38800</v>
      </c>
      <c r="AB347" s="220"/>
      <c r="AC347" s="220"/>
      <c r="AD347" s="220"/>
      <c r="AE347" s="220"/>
      <c r="AF347" s="220"/>
      <c r="AG347" s="217">
        <f t="shared" ref="AG347:AG349" si="338">SUM(AB347:AF347)</f>
        <v>0</v>
      </c>
      <c r="AH347" s="217">
        <f t="shared" ref="AH347:AH349" si="339">AG347+AA347</f>
        <v>38800</v>
      </c>
      <c r="AI347" s="217">
        <v>38800</v>
      </c>
      <c r="AJ347" s="764">
        <f t="shared" ref="AJ347:AJ349" si="340">AI347/AH347*100</f>
        <v>100</v>
      </c>
    </row>
    <row r="348" spans="1:36" ht="16.5" customHeight="1">
      <c r="A348" s="40"/>
      <c r="B348" s="40"/>
      <c r="C348" s="124"/>
      <c r="D348" s="411">
        <v>2</v>
      </c>
      <c r="E348" s="124" t="s">
        <v>198</v>
      </c>
      <c r="F348" s="412"/>
      <c r="G348" s="36"/>
      <c r="H348" s="162"/>
      <c r="I348" s="162" t="s">
        <v>182</v>
      </c>
      <c r="J348" s="126"/>
      <c r="K348" s="204"/>
      <c r="L348" s="220"/>
      <c r="M348" s="220">
        <v>8808</v>
      </c>
      <c r="N348" s="220"/>
      <c r="O348" s="220"/>
      <c r="P348" s="220"/>
      <c r="Q348" s="220"/>
      <c r="R348" s="220"/>
      <c r="S348" s="217">
        <f t="shared" si="336"/>
        <v>8808</v>
      </c>
      <c r="T348" s="217">
        <f t="shared" si="337"/>
        <v>8808</v>
      </c>
      <c r="U348" s="220"/>
      <c r="V348" s="220"/>
      <c r="W348" s="220"/>
      <c r="X348" s="220"/>
      <c r="Y348" s="220"/>
      <c r="Z348" s="217">
        <f>SUM(U348:Y348)</f>
        <v>0</v>
      </c>
      <c r="AA348" s="217">
        <f>Z348+T348</f>
        <v>8808</v>
      </c>
      <c r="AB348" s="220"/>
      <c r="AC348" s="220"/>
      <c r="AD348" s="220"/>
      <c r="AE348" s="220"/>
      <c r="AF348" s="220"/>
      <c r="AG348" s="217">
        <f t="shared" si="338"/>
        <v>0</v>
      </c>
      <c r="AH348" s="217">
        <f t="shared" si="339"/>
        <v>8808</v>
      </c>
      <c r="AI348" s="217"/>
      <c r="AJ348" s="764">
        <f t="shared" si="340"/>
        <v>0</v>
      </c>
    </row>
    <row r="349" spans="1:36" ht="16.5" customHeight="1">
      <c r="A349" s="40"/>
      <c r="B349" s="40"/>
      <c r="C349" s="124"/>
      <c r="D349" s="411">
        <v>3</v>
      </c>
      <c r="E349" s="124" t="s">
        <v>198</v>
      </c>
      <c r="F349" s="412"/>
      <c r="G349" s="36"/>
      <c r="H349" s="162"/>
      <c r="I349" s="162" t="s">
        <v>116</v>
      </c>
      <c r="J349" s="126"/>
      <c r="K349" s="204"/>
      <c r="L349" s="220"/>
      <c r="M349" s="220">
        <v>10476</v>
      </c>
      <c r="N349" s="220"/>
      <c r="O349" s="220"/>
      <c r="P349" s="220"/>
      <c r="Q349" s="220"/>
      <c r="R349" s="220"/>
      <c r="S349" s="217">
        <f t="shared" si="336"/>
        <v>10476</v>
      </c>
      <c r="T349" s="217">
        <f t="shared" si="337"/>
        <v>10476</v>
      </c>
      <c r="U349" s="220"/>
      <c r="V349" s="220"/>
      <c r="W349" s="220"/>
      <c r="X349" s="220"/>
      <c r="Y349" s="220"/>
      <c r="Z349" s="217">
        <f>SUM(U349:Y349)</f>
        <v>0</v>
      </c>
      <c r="AA349" s="217">
        <f>Z349+T349</f>
        <v>10476</v>
      </c>
      <c r="AB349" s="220"/>
      <c r="AC349" s="220"/>
      <c r="AD349" s="220"/>
      <c r="AE349" s="220"/>
      <c r="AF349" s="220"/>
      <c r="AG349" s="217">
        <f t="shared" si="338"/>
        <v>0</v>
      </c>
      <c r="AH349" s="217">
        <f t="shared" si="339"/>
        <v>10476</v>
      </c>
      <c r="AI349" s="217">
        <v>10476</v>
      </c>
      <c r="AJ349" s="764">
        <f t="shared" si="340"/>
        <v>100</v>
      </c>
    </row>
    <row r="350" spans="1:36" ht="14.5" customHeight="1">
      <c r="A350" s="40"/>
      <c r="B350" s="40"/>
      <c r="C350" s="124"/>
      <c r="D350" s="124"/>
      <c r="E350" s="124"/>
      <c r="F350" s="462"/>
      <c r="G350" s="41"/>
      <c r="H350" s="66"/>
      <c r="I350" s="41"/>
      <c r="J350" s="126"/>
      <c r="K350" s="204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  <c r="AJ350" s="748"/>
    </row>
    <row r="351" spans="1:36" ht="14.5" customHeight="1">
      <c r="A351" s="40"/>
      <c r="B351" s="40"/>
      <c r="C351" s="124"/>
      <c r="D351" s="124"/>
      <c r="E351" s="124"/>
      <c r="F351" s="173"/>
      <c r="G351" s="64"/>
      <c r="H351" s="65"/>
      <c r="I351" s="64" t="s">
        <v>38</v>
      </c>
      <c r="J351" s="333">
        <f>SUM(J347:J350)</f>
        <v>0</v>
      </c>
      <c r="K351" s="457"/>
      <c r="L351" s="458">
        <f>SUM(L347:L350)</f>
        <v>0</v>
      </c>
      <c r="M351" s="458">
        <f>SUM(M347:M350)</f>
        <v>58084</v>
      </c>
      <c r="N351" s="458">
        <f t="shared" ref="N351:T351" si="341">SUM(N347:N350)</f>
        <v>0</v>
      </c>
      <c r="O351" s="458">
        <f t="shared" si="341"/>
        <v>0</v>
      </c>
      <c r="P351" s="458">
        <f t="shared" si="341"/>
        <v>0</v>
      </c>
      <c r="Q351" s="458">
        <f t="shared" si="341"/>
        <v>0</v>
      </c>
      <c r="R351" s="458">
        <f t="shared" si="341"/>
        <v>0</v>
      </c>
      <c r="S351" s="458">
        <f t="shared" si="341"/>
        <v>58084</v>
      </c>
      <c r="T351" s="458">
        <f t="shared" si="341"/>
        <v>58084</v>
      </c>
      <c r="U351" s="458"/>
      <c r="V351" s="458"/>
      <c r="W351" s="458"/>
      <c r="X351" s="458"/>
      <c r="Y351" s="458"/>
      <c r="Z351" s="458">
        <f t="shared" ref="Z351:AA351" si="342">SUM(Z347:Z350)</f>
        <v>0</v>
      </c>
      <c r="AA351" s="458">
        <f t="shared" si="342"/>
        <v>58084</v>
      </c>
      <c r="AB351" s="458"/>
      <c r="AC351" s="458"/>
      <c r="AD351" s="458"/>
      <c r="AE351" s="458"/>
      <c r="AF351" s="458"/>
      <c r="AG351" s="458">
        <f t="shared" ref="AG351:AH351" si="343">SUM(AG347:AG350)</f>
        <v>0</v>
      </c>
      <c r="AH351" s="458">
        <f t="shared" si="343"/>
        <v>58084</v>
      </c>
      <c r="AI351" s="458">
        <f t="shared" ref="AI351" si="344">SUM(AI347:AI350)</f>
        <v>49276</v>
      </c>
      <c r="AJ351" s="770">
        <f>AI351/AH351*100</f>
        <v>84.835755113284208</v>
      </c>
    </row>
    <row r="352" spans="1:36" ht="14.5" customHeight="1">
      <c r="A352" s="40"/>
      <c r="B352" s="40"/>
      <c r="C352" s="124"/>
      <c r="D352" s="124"/>
      <c r="E352" s="124"/>
      <c r="F352" s="451"/>
      <c r="G352" s="41"/>
      <c r="H352" s="66"/>
      <c r="I352" s="66"/>
      <c r="J352" s="452"/>
      <c r="K352" s="453"/>
      <c r="L352" s="454"/>
      <c r="M352" s="454"/>
      <c r="N352" s="454"/>
      <c r="O352" s="454"/>
      <c r="P352" s="454"/>
      <c r="Q352" s="454"/>
      <c r="R352" s="454"/>
      <c r="S352" s="454"/>
      <c r="T352" s="454"/>
      <c r="U352" s="454"/>
      <c r="V352" s="454"/>
      <c r="W352" s="454"/>
      <c r="X352" s="454"/>
      <c r="Y352" s="454"/>
      <c r="Z352" s="454"/>
      <c r="AA352" s="454"/>
      <c r="AB352" s="454"/>
      <c r="AC352" s="454"/>
      <c r="AD352" s="454"/>
      <c r="AE352" s="454"/>
      <c r="AF352" s="454"/>
      <c r="AG352" s="454"/>
      <c r="AH352" s="454"/>
      <c r="AI352" s="454"/>
      <c r="AJ352" s="769"/>
    </row>
    <row r="353" spans="1:36" ht="14.5" customHeight="1">
      <c r="A353" s="40"/>
      <c r="B353" s="40"/>
      <c r="C353" s="124"/>
      <c r="D353" s="124"/>
      <c r="E353" s="124"/>
      <c r="F353" s="463"/>
      <c r="G353" s="166"/>
      <c r="H353" s="464"/>
      <c r="I353" s="166" t="s">
        <v>37</v>
      </c>
      <c r="J353" s="460">
        <f>SUM(J290:J352)/2</f>
        <v>585862000</v>
      </c>
      <c r="K353" s="461"/>
      <c r="L353" s="460">
        <f>SUM(L290:L352)/2</f>
        <v>585862000</v>
      </c>
      <c r="M353" s="460">
        <f>SUM(M290:M352)/2</f>
        <v>119208577</v>
      </c>
      <c r="N353" s="460">
        <f t="shared" ref="N353:T353" si="345">SUM(N290:N352)/2</f>
        <v>0</v>
      </c>
      <c r="O353" s="460">
        <f t="shared" si="345"/>
        <v>-15000000</v>
      </c>
      <c r="P353" s="460">
        <f t="shared" si="345"/>
        <v>0</v>
      </c>
      <c r="Q353" s="460">
        <f t="shared" si="345"/>
        <v>0</v>
      </c>
      <c r="R353" s="460">
        <f t="shared" si="345"/>
        <v>0</v>
      </c>
      <c r="S353" s="460">
        <f t="shared" si="345"/>
        <v>104208577</v>
      </c>
      <c r="T353" s="460">
        <f t="shared" si="345"/>
        <v>690070577</v>
      </c>
      <c r="U353" s="460"/>
      <c r="V353" s="460"/>
      <c r="W353" s="460"/>
      <c r="X353" s="460">
        <f t="shared" ref="X353:AA353" si="346">SUM(X290:X352)/2</f>
        <v>-372491</v>
      </c>
      <c r="Y353" s="460"/>
      <c r="Z353" s="460">
        <f t="shared" si="346"/>
        <v>-372491</v>
      </c>
      <c r="AA353" s="460">
        <f t="shared" si="346"/>
        <v>689698086</v>
      </c>
      <c r="AB353" s="460"/>
      <c r="AC353" s="460">
        <f t="shared" ref="AC353:AH353" si="347">SUM(AC290:AC352)/2</f>
        <v>1178817</v>
      </c>
      <c r="AD353" s="460"/>
      <c r="AE353" s="460">
        <f t="shared" si="347"/>
        <v>-3461296</v>
      </c>
      <c r="AF353" s="460"/>
      <c r="AG353" s="460">
        <f t="shared" si="347"/>
        <v>-2282479</v>
      </c>
      <c r="AH353" s="460">
        <f t="shared" si="347"/>
        <v>687415607</v>
      </c>
      <c r="AI353" s="460">
        <f t="shared" ref="AI353" si="348">SUM(AI290:AI352)/2</f>
        <v>601907346</v>
      </c>
      <c r="AJ353" s="771">
        <f>AI353/AH353*100</f>
        <v>87.56090782210012</v>
      </c>
    </row>
    <row r="354" spans="1:36" ht="14.5" customHeight="1">
      <c r="A354" s="40"/>
      <c r="B354" s="40"/>
      <c r="C354" s="124"/>
      <c r="D354" s="124"/>
      <c r="E354" s="124"/>
      <c r="F354" s="451"/>
      <c r="G354" s="41"/>
      <c r="H354" s="66"/>
      <c r="I354" s="41"/>
      <c r="J354" s="126"/>
      <c r="K354" s="204"/>
      <c r="L354" s="205"/>
      <c r="M354" s="205"/>
      <c r="N354" s="205"/>
      <c r="O354" s="205"/>
      <c r="P354" s="205"/>
      <c r="Q354" s="205"/>
      <c r="R354" s="205"/>
      <c r="S354" s="205"/>
      <c r="T354" s="205"/>
      <c r="U354" s="205"/>
      <c r="V354" s="205"/>
      <c r="W354" s="205"/>
      <c r="X354" s="205"/>
      <c r="Y354" s="205"/>
      <c r="Z354" s="205"/>
      <c r="AA354" s="205"/>
      <c r="AB354" s="205"/>
      <c r="AC354" s="205"/>
      <c r="AD354" s="205"/>
      <c r="AE354" s="205"/>
      <c r="AF354" s="205"/>
      <c r="AG354" s="205"/>
      <c r="AH354" s="205"/>
      <c r="AI354" s="205"/>
      <c r="AJ354" s="747"/>
    </row>
    <row r="355" spans="1:36" ht="14.5" customHeight="1">
      <c r="A355" s="40">
        <v>7</v>
      </c>
      <c r="B355" s="40"/>
      <c r="C355" s="124"/>
      <c r="D355" s="124"/>
      <c r="F355" s="451" t="s">
        <v>46</v>
      </c>
      <c r="G355" s="41"/>
      <c r="H355" s="66"/>
      <c r="I355" s="66"/>
      <c r="J355" s="452"/>
      <c r="K355" s="453"/>
      <c r="L355" s="454"/>
      <c r="M355" s="454"/>
      <c r="N355" s="454"/>
      <c r="O355" s="454"/>
      <c r="P355" s="454"/>
      <c r="Q355" s="454"/>
      <c r="R355" s="454"/>
      <c r="S355" s="454"/>
      <c r="T355" s="454"/>
      <c r="U355" s="454"/>
      <c r="V355" s="454"/>
      <c r="W355" s="454"/>
      <c r="X355" s="454"/>
      <c r="Y355" s="454"/>
      <c r="Z355" s="454"/>
      <c r="AA355" s="454"/>
      <c r="AB355" s="454"/>
      <c r="AC355" s="454"/>
      <c r="AD355" s="454"/>
      <c r="AE355" s="454"/>
      <c r="AF355" s="454"/>
      <c r="AG355" s="454"/>
      <c r="AH355" s="454"/>
      <c r="AI355" s="454"/>
      <c r="AJ355" s="769"/>
    </row>
    <row r="356" spans="1:36" ht="14.5" customHeight="1">
      <c r="A356" s="40"/>
      <c r="B356" s="40">
        <v>1</v>
      </c>
      <c r="C356" s="124"/>
      <c r="D356" s="124"/>
      <c r="E356" s="124"/>
      <c r="F356" s="451"/>
      <c r="G356" s="459" t="s">
        <v>51</v>
      </c>
      <c r="H356" s="66"/>
      <c r="I356" s="66"/>
      <c r="J356" s="452"/>
      <c r="K356" s="453"/>
      <c r="L356" s="454"/>
      <c r="M356" s="454"/>
      <c r="N356" s="454"/>
      <c r="O356" s="454"/>
      <c r="P356" s="454"/>
      <c r="Q356" s="454"/>
      <c r="R356" s="454"/>
      <c r="S356" s="454"/>
      <c r="T356" s="454"/>
      <c r="U356" s="454"/>
      <c r="V356" s="454"/>
      <c r="W356" s="454"/>
      <c r="X356" s="454"/>
      <c r="Y356" s="454"/>
      <c r="Z356" s="454"/>
      <c r="AA356" s="454"/>
      <c r="AB356" s="454"/>
      <c r="AC356" s="454"/>
      <c r="AD356" s="454"/>
      <c r="AE356" s="454"/>
      <c r="AF356" s="454"/>
      <c r="AG356" s="454"/>
      <c r="AH356" s="454"/>
      <c r="AI356" s="454"/>
      <c r="AJ356" s="769"/>
    </row>
    <row r="357" spans="1:36" ht="14.5" customHeight="1">
      <c r="A357" s="40"/>
      <c r="B357" s="40"/>
      <c r="C357" s="124">
        <v>1</v>
      </c>
      <c r="D357" s="124"/>
      <c r="E357" s="124"/>
      <c r="F357" s="451"/>
      <c r="G357" s="41"/>
      <c r="H357" s="66" t="s">
        <v>35</v>
      </c>
      <c r="I357" s="66"/>
      <c r="J357" s="452"/>
      <c r="K357" s="453"/>
      <c r="L357" s="454"/>
      <c r="M357" s="454"/>
      <c r="N357" s="454"/>
      <c r="O357" s="454"/>
      <c r="P357" s="454"/>
      <c r="Q357" s="454"/>
      <c r="R357" s="454"/>
      <c r="S357" s="454"/>
      <c r="T357" s="454"/>
      <c r="U357" s="454"/>
      <c r="V357" s="454"/>
      <c r="W357" s="454"/>
      <c r="X357" s="454"/>
      <c r="Y357" s="454"/>
      <c r="Z357" s="454"/>
      <c r="AA357" s="454"/>
      <c r="AB357" s="454"/>
      <c r="AC357" s="454"/>
      <c r="AD357" s="454"/>
      <c r="AE357" s="454"/>
      <c r="AF357" s="454"/>
      <c r="AG357" s="454"/>
      <c r="AH357" s="454"/>
      <c r="AI357" s="454"/>
      <c r="AJ357" s="769"/>
    </row>
    <row r="358" spans="1:36" ht="14.5" customHeight="1">
      <c r="A358" s="40"/>
      <c r="B358" s="40"/>
      <c r="C358" s="124"/>
      <c r="D358" s="124">
        <v>3</v>
      </c>
      <c r="E358" s="124" t="s">
        <v>199</v>
      </c>
      <c r="F358" s="451"/>
      <c r="G358" s="41"/>
      <c r="H358" s="66"/>
      <c r="I358" s="66" t="s">
        <v>116</v>
      </c>
      <c r="J358" s="452">
        <v>9000000</v>
      </c>
      <c r="K358" s="453"/>
      <c r="L358" s="217">
        <f>SUM(J358:K358)</f>
        <v>9000000</v>
      </c>
      <c r="M358" s="217">
        <v>2943250</v>
      </c>
      <c r="N358" s="217"/>
      <c r="O358" s="217"/>
      <c r="P358" s="217"/>
      <c r="Q358" s="217"/>
      <c r="R358" s="217"/>
      <c r="S358" s="217">
        <f t="shared" ref="S358" si="349">SUM(M358:R358)</f>
        <v>2943250</v>
      </c>
      <c r="T358" s="217">
        <f t="shared" ref="T358" si="350">S358+L358</f>
        <v>11943250</v>
      </c>
      <c r="U358" s="217"/>
      <c r="V358" s="217"/>
      <c r="W358" s="217"/>
      <c r="X358" s="217"/>
      <c r="Y358" s="217"/>
      <c r="Z358" s="217">
        <f>SUM(U358:Y358)</f>
        <v>0</v>
      </c>
      <c r="AA358" s="217">
        <f>Z358+T358</f>
        <v>11943250</v>
      </c>
      <c r="AB358" s="217"/>
      <c r="AC358" s="217"/>
      <c r="AD358" s="217"/>
      <c r="AE358" s="217">
        <v>-68547</v>
      </c>
      <c r="AF358" s="217"/>
      <c r="AG358" s="217">
        <f t="shared" ref="AG358" si="351">SUM(AB358:AF358)</f>
        <v>-68547</v>
      </c>
      <c r="AH358" s="217">
        <f t="shared" ref="AH358" si="352">AG358+AA358</f>
        <v>11874703</v>
      </c>
      <c r="AI358" s="217">
        <v>10774702</v>
      </c>
      <c r="AJ358" s="764">
        <f>AI358/AH358*100</f>
        <v>90.736602001751123</v>
      </c>
    </row>
    <row r="359" spans="1:36" ht="7" customHeight="1">
      <c r="A359" s="40"/>
      <c r="B359" s="40"/>
      <c r="C359" s="124"/>
      <c r="D359" s="124"/>
      <c r="E359" s="124"/>
      <c r="F359" s="451"/>
      <c r="G359" s="41"/>
      <c r="H359" s="66"/>
      <c r="I359" s="66"/>
      <c r="J359" s="452"/>
      <c r="K359" s="453"/>
      <c r="L359" s="454"/>
      <c r="M359" s="454"/>
      <c r="N359" s="454"/>
      <c r="O359" s="454"/>
      <c r="P359" s="454"/>
      <c r="Q359" s="454"/>
      <c r="R359" s="454"/>
      <c r="S359" s="454"/>
      <c r="T359" s="454"/>
      <c r="U359" s="454"/>
      <c r="V359" s="454"/>
      <c r="W359" s="454"/>
      <c r="X359" s="454"/>
      <c r="Y359" s="454"/>
      <c r="Z359" s="454"/>
      <c r="AA359" s="454"/>
      <c r="AB359" s="454"/>
      <c r="AC359" s="454"/>
      <c r="AD359" s="454"/>
      <c r="AE359" s="454"/>
      <c r="AF359" s="454"/>
      <c r="AG359" s="454"/>
      <c r="AH359" s="454"/>
      <c r="AI359" s="454"/>
      <c r="AJ359" s="769"/>
    </row>
    <row r="360" spans="1:36" ht="14.5" customHeight="1">
      <c r="A360" s="40"/>
      <c r="B360" s="40"/>
      <c r="C360" s="124"/>
      <c r="D360" s="124"/>
      <c r="E360" s="124"/>
      <c r="F360" s="173"/>
      <c r="G360" s="64"/>
      <c r="H360" s="65"/>
      <c r="I360" s="64" t="s">
        <v>38</v>
      </c>
      <c r="J360" s="333">
        <f>SUM(J354:J359)</f>
        <v>9000000</v>
      </c>
      <c r="K360" s="457"/>
      <c r="L360" s="458">
        <f>SUM(L354:L359)</f>
        <v>9000000</v>
      </c>
      <c r="M360" s="458">
        <f>SUM(M358:M359)</f>
        <v>2943250</v>
      </c>
      <c r="N360" s="458">
        <f t="shared" ref="N360:T360" si="353">SUM(N358:N359)</f>
        <v>0</v>
      </c>
      <c r="O360" s="458">
        <f t="shared" si="353"/>
        <v>0</v>
      </c>
      <c r="P360" s="458">
        <f t="shared" si="353"/>
        <v>0</v>
      </c>
      <c r="Q360" s="458">
        <f t="shared" si="353"/>
        <v>0</v>
      </c>
      <c r="R360" s="458">
        <f t="shared" si="353"/>
        <v>0</v>
      </c>
      <c r="S360" s="458">
        <f t="shared" si="353"/>
        <v>2943250</v>
      </c>
      <c r="T360" s="458">
        <f t="shared" si="353"/>
        <v>11943250</v>
      </c>
      <c r="U360" s="458"/>
      <c r="V360" s="458"/>
      <c r="W360" s="458"/>
      <c r="X360" s="458"/>
      <c r="Y360" s="458"/>
      <c r="Z360" s="458">
        <f t="shared" ref="Z360:AA360" si="354">SUM(Z358:Z359)</f>
        <v>0</v>
      </c>
      <c r="AA360" s="458">
        <f t="shared" si="354"/>
        <v>11943250</v>
      </c>
      <c r="AB360" s="458"/>
      <c r="AC360" s="458"/>
      <c r="AD360" s="458"/>
      <c r="AE360" s="458">
        <f t="shared" ref="AE360:AI360" si="355">SUM(AE358:AE359)</f>
        <v>-68547</v>
      </c>
      <c r="AF360" s="458"/>
      <c r="AG360" s="458">
        <f t="shared" si="355"/>
        <v>-68547</v>
      </c>
      <c r="AH360" s="458">
        <f t="shared" si="355"/>
        <v>11874703</v>
      </c>
      <c r="AI360" s="458">
        <f t="shared" si="355"/>
        <v>10774702</v>
      </c>
      <c r="AJ360" s="770">
        <f>AI360/AH360*100</f>
        <v>90.736602001751123</v>
      </c>
    </row>
    <row r="361" spans="1:36" ht="14">
      <c r="A361" s="40"/>
      <c r="B361" s="40"/>
      <c r="C361" s="124"/>
      <c r="D361" s="124"/>
      <c r="E361" s="124"/>
      <c r="F361" s="451"/>
      <c r="G361" s="41"/>
      <c r="H361" s="66"/>
      <c r="I361" s="41"/>
      <c r="J361" s="126"/>
      <c r="K361" s="204"/>
      <c r="L361" s="205"/>
      <c r="M361" s="205"/>
      <c r="N361" s="205"/>
      <c r="O361" s="205"/>
      <c r="P361" s="205"/>
      <c r="Q361" s="205"/>
      <c r="R361" s="205"/>
      <c r="S361" s="205"/>
      <c r="T361" s="205"/>
      <c r="U361" s="205"/>
      <c r="V361" s="205"/>
      <c r="W361" s="205"/>
      <c r="X361" s="205"/>
      <c r="Y361" s="205"/>
      <c r="Z361" s="205"/>
      <c r="AA361" s="205"/>
      <c r="AB361" s="205"/>
      <c r="AC361" s="205"/>
      <c r="AD361" s="205"/>
      <c r="AE361" s="205"/>
      <c r="AF361" s="205"/>
      <c r="AG361" s="205"/>
      <c r="AH361" s="205"/>
      <c r="AI361" s="205"/>
      <c r="AJ361" s="747"/>
    </row>
    <row r="362" spans="1:36" ht="14.5" customHeight="1">
      <c r="A362" s="40"/>
      <c r="B362" s="40">
        <v>2</v>
      </c>
      <c r="C362" s="124"/>
      <c r="D362" s="124"/>
      <c r="F362" s="451"/>
      <c r="G362" s="459" t="s">
        <v>75</v>
      </c>
      <c r="H362" s="66"/>
      <c r="I362" s="66"/>
      <c r="J362" s="452"/>
      <c r="K362" s="453"/>
      <c r="L362" s="454"/>
      <c r="M362" s="454"/>
      <c r="N362" s="454"/>
      <c r="O362" s="454"/>
      <c r="P362" s="454"/>
      <c r="Q362" s="454"/>
      <c r="R362" s="454"/>
      <c r="S362" s="454"/>
      <c r="T362" s="454"/>
      <c r="U362" s="454"/>
      <c r="V362" s="454"/>
      <c r="W362" s="454"/>
      <c r="X362" s="454"/>
      <c r="Y362" s="454"/>
      <c r="Z362" s="454"/>
      <c r="AA362" s="454"/>
      <c r="AB362" s="454"/>
      <c r="AC362" s="454"/>
      <c r="AD362" s="454"/>
      <c r="AE362" s="454"/>
      <c r="AF362" s="454"/>
      <c r="AG362" s="454"/>
      <c r="AH362" s="454"/>
      <c r="AI362" s="454"/>
      <c r="AJ362" s="769"/>
    </row>
    <row r="363" spans="1:36" ht="14.5" customHeight="1">
      <c r="A363" s="40"/>
      <c r="B363" s="40"/>
      <c r="C363" s="124">
        <v>1</v>
      </c>
      <c r="D363" s="124"/>
      <c r="E363" s="124"/>
      <c r="F363" s="451"/>
      <c r="G363" s="41"/>
      <c r="H363" s="66" t="s">
        <v>35</v>
      </c>
      <c r="I363" s="66"/>
      <c r="J363" s="452"/>
      <c r="K363" s="453"/>
      <c r="L363" s="454"/>
      <c r="M363" s="454"/>
      <c r="N363" s="454"/>
      <c r="O363" s="454"/>
      <c r="P363" s="454"/>
      <c r="Q363" s="454"/>
      <c r="R363" s="454"/>
      <c r="S363" s="454"/>
      <c r="T363" s="454"/>
      <c r="U363" s="454"/>
      <c r="V363" s="454"/>
      <c r="W363" s="454"/>
      <c r="X363" s="454"/>
      <c r="Y363" s="454"/>
      <c r="Z363" s="454"/>
      <c r="AA363" s="454"/>
      <c r="AB363" s="454"/>
      <c r="AC363" s="454"/>
      <c r="AD363" s="454"/>
      <c r="AE363" s="454"/>
      <c r="AF363" s="454"/>
      <c r="AG363" s="454"/>
      <c r="AH363" s="454"/>
      <c r="AI363" s="454"/>
      <c r="AJ363" s="769"/>
    </row>
    <row r="364" spans="1:36" ht="14.5" customHeight="1">
      <c r="A364" s="40"/>
      <c r="B364" s="40"/>
      <c r="C364" s="124"/>
      <c r="D364" s="124">
        <v>3</v>
      </c>
      <c r="E364" s="124" t="s">
        <v>199</v>
      </c>
      <c r="F364" s="451"/>
      <c r="G364" s="41"/>
      <c r="H364" s="66"/>
      <c r="I364" s="66" t="s">
        <v>116</v>
      </c>
      <c r="J364" s="452">
        <v>9000000</v>
      </c>
      <c r="K364" s="453"/>
      <c r="L364" s="217">
        <f>SUM(J364:K364)</f>
        <v>9000000</v>
      </c>
      <c r="M364" s="217">
        <v>1591427</v>
      </c>
      <c r="N364" s="217"/>
      <c r="O364" s="217"/>
      <c r="P364" s="217"/>
      <c r="Q364" s="217"/>
      <c r="R364" s="217"/>
      <c r="S364" s="217">
        <f t="shared" ref="S364" si="356">SUM(M364:R364)</f>
        <v>1591427</v>
      </c>
      <c r="T364" s="217">
        <f t="shared" ref="T364" si="357">S364+L364</f>
        <v>10591427</v>
      </c>
      <c r="U364" s="217"/>
      <c r="V364" s="217"/>
      <c r="W364" s="217"/>
      <c r="X364" s="217"/>
      <c r="Y364" s="217"/>
      <c r="Z364" s="217">
        <f>SUM(U364:Y364)</f>
        <v>0</v>
      </c>
      <c r="AA364" s="217">
        <f>Z364+T364</f>
        <v>10591427</v>
      </c>
      <c r="AB364" s="217"/>
      <c r="AC364" s="217"/>
      <c r="AD364" s="217"/>
      <c r="AE364" s="217">
        <v>-48062</v>
      </c>
      <c r="AF364" s="217"/>
      <c r="AG364" s="217">
        <f t="shared" ref="AG364" si="358">SUM(AB364:AF364)</f>
        <v>-48062</v>
      </c>
      <c r="AH364" s="217">
        <f t="shared" ref="AH364" si="359">AG364+AA364</f>
        <v>10543365</v>
      </c>
      <c r="AI364" s="217">
        <v>3110774</v>
      </c>
      <c r="AJ364" s="764">
        <f>AI364/AH364*100</f>
        <v>29.504565193370428</v>
      </c>
    </row>
    <row r="365" spans="1:36" ht="7.5" customHeight="1">
      <c r="A365" s="40"/>
      <c r="B365" s="40"/>
      <c r="C365" s="124"/>
      <c r="D365" s="124"/>
      <c r="E365" s="124"/>
      <c r="F365" s="451"/>
      <c r="G365" s="41"/>
      <c r="H365" s="66"/>
      <c r="I365" s="66"/>
      <c r="J365" s="452"/>
      <c r="K365" s="453"/>
      <c r="L365" s="454"/>
      <c r="M365" s="454"/>
      <c r="N365" s="454"/>
      <c r="O365" s="454"/>
      <c r="P365" s="454"/>
      <c r="Q365" s="454"/>
      <c r="R365" s="454"/>
      <c r="S365" s="454"/>
      <c r="T365" s="454"/>
      <c r="U365" s="454"/>
      <c r="V365" s="454"/>
      <c r="W365" s="454"/>
      <c r="X365" s="454"/>
      <c r="Y365" s="454"/>
      <c r="Z365" s="454"/>
      <c r="AA365" s="454"/>
      <c r="AB365" s="454"/>
      <c r="AC365" s="454"/>
      <c r="AD365" s="454"/>
      <c r="AE365" s="454"/>
      <c r="AF365" s="454"/>
      <c r="AG365" s="454"/>
      <c r="AH365" s="454"/>
      <c r="AI365" s="454"/>
      <c r="AJ365" s="769"/>
    </row>
    <row r="366" spans="1:36" ht="14.5" customHeight="1">
      <c r="A366" s="40"/>
      <c r="B366" s="40"/>
      <c r="C366" s="124"/>
      <c r="D366" s="124"/>
      <c r="E366" s="124"/>
      <c r="F366" s="173"/>
      <c r="G366" s="64"/>
      <c r="H366" s="65"/>
      <c r="I366" s="64" t="s">
        <v>38</v>
      </c>
      <c r="J366" s="333">
        <f>SUM(J361:J365)</f>
        <v>9000000</v>
      </c>
      <c r="K366" s="457"/>
      <c r="L366" s="458">
        <f>SUM(L361:L365)</f>
        <v>9000000</v>
      </c>
      <c r="M366" s="458">
        <f>SUM(M364:M365)</f>
        <v>1591427</v>
      </c>
      <c r="N366" s="458">
        <f t="shared" ref="N366:T366" si="360">SUM(N364:N365)</f>
        <v>0</v>
      </c>
      <c r="O366" s="458">
        <f t="shared" si="360"/>
        <v>0</v>
      </c>
      <c r="P366" s="458">
        <f t="shared" si="360"/>
        <v>0</v>
      </c>
      <c r="Q366" s="458">
        <f t="shared" si="360"/>
        <v>0</v>
      </c>
      <c r="R366" s="458">
        <f t="shared" si="360"/>
        <v>0</v>
      </c>
      <c r="S366" s="458">
        <f t="shared" si="360"/>
        <v>1591427</v>
      </c>
      <c r="T366" s="458">
        <f t="shared" si="360"/>
        <v>10591427</v>
      </c>
      <c r="U366" s="458"/>
      <c r="V366" s="458"/>
      <c r="W366" s="458"/>
      <c r="X366" s="458"/>
      <c r="Y366" s="458"/>
      <c r="Z366" s="458">
        <f t="shared" ref="Z366:AA366" si="361">SUM(Z364:Z365)</f>
        <v>0</v>
      </c>
      <c r="AA366" s="458">
        <f t="shared" si="361"/>
        <v>10591427</v>
      </c>
      <c r="AB366" s="458"/>
      <c r="AC366" s="458"/>
      <c r="AD366" s="458"/>
      <c r="AE366" s="458">
        <f t="shared" ref="AE366:AI366" si="362">SUM(AE364:AE365)</f>
        <v>-48062</v>
      </c>
      <c r="AF366" s="458"/>
      <c r="AG366" s="458">
        <f t="shared" si="362"/>
        <v>-48062</v>
      </c>
      <c r="AH366" s="458">
        <f t="shared" si="362"/>
        <v>10543365</v>
      </c>
      <c r="AI366" s="458">
        <f t="shared" si="362"/>
        <v>3110774</v>
      </c>
      <c r="AJ366" s="770">
        <f>AI366/AH366*100</f>
        <v>29.504565193370428</v>
      </c>
    </row>
    <row r="367" spans="1:36" ht="14">
      <c r="A367" s="40"/>
      <c r="B367" s="40"/>
      <c r="C367" s="124"/>
      <c r="D367" s="124"/>
      <c r="E367" s="124"/>
      <c r="F367" s="451"/>
      <c r="G367" s="41"/>
      <c r="H367" s="66"/>
      <c r="I367" s="41"/>
      <c r="J367" s="126"/>
      <c r="K367" s="204"/>
      <c r="L367" s="205"/>
      <c r="M367" s="205"/>
      <c r="N367" s="205"/>
      <c r="O367" s="205"/>
      <c r="P367" s="205"/>
      <c r="Q367" s="205"/>
      <c r="R367" s="205"/>
      <c r="S367" s="205"/>
      <c r="T367" s="205"/>
      <c r="U367" s="205"/>
      <c r="V367" s="205"/>
      <c r="W367" s="205"/>
      <c r="X367" s="205"/>
      <c r="Y367" s="205"/>
      <c r="Z367" s="205"/>
      <c r="AA367" s="205"/>
      <c r="AB367" s="205"/>
      <c r="AC367" s="205"/>
      <c r="AD367" s="205"/>
      <c r="AE367" s="205"/>
      <c r="AF367" s="205"/>
      <c r="AG367" s="205"/>
      <c r="AH367" s="205"/>
      <c r="AI367" s="205"/>
      <c r="AJ367" s="747"/>
    </row>
    <row r="368" spans="1:36" ht="14.5" customHeight="1">
      <c r="A368" s="40"/>
      <c r="B368" s="40">
        <v>3</v>
      </c>
      <c r="C368" s="124"/>
      <c r="D368" s="124"/>
      <c r="F368" s="451"/>
      <c r="G368" s="459" t="s">
        <v>76</v>
      </c>
      <c r="H368" s="66"/>
      <c r="I368" s="66"/>
      <c r="J368" s="452"/>
      <c r="K368" s="453"/>
      <c r="L368" s="454"/>
      <c r="M368" s="454"/>
      <c r="N368" s="454"/>
      <c r="O368" s="454"/>
      <c r="P368" s="454"/>
      <c r="Q368" s="454"/>
      <c r="R368" s="454"/>
      <c r="S368" s="454"/>
      <c r="T368" s="454"/>
      <c r="U368" s="454"/>
      <c r="V368" s="454"/>
      <c r="W368" s="454"/>
      <c r="X368" s="454"/>
      <c r="Y368" s="454"/>
      <c r="Z368" s="454"/>
      <c r="AA368" s="454"/>
      <c r="AB368" s="454"/>
      <c r="AC368" s="454"/>
      <c r="AD368" s="454"/>
      <c r="AE368" s="454"/>
      <c r="AF368" s="454"/>
      <c r="AG368" s="454"/>
      <c r="AH368" s="454"/>
      <c r="AI368" s="454"/>
      <c r="AJ368" s="769"/>
    </row>
    <row r="369" spans="1:36" ht="14.5" customHeight="1">
      <c r="A369" s="40"/>
      <c r="B369" s="40"/>
      <c r="C369" s="124">
        <v>1</v>
      </c>
      <c r="D369" s="124"/>
      <c r="E369" s="124"/>
      <c r="F369" s="451"/>
      <c r="G369" s="41"/>
      <c r="H369" s="66" t="s">
        <v>35</v>
      </c>
      <c r="I369" s="66"/>
      <c r="J369" s="452"/>
      <c r="K369" s="453"/>
      <c r="L369" s="454"/>
      <c r="M369" s="454"/>
      <c r="N369" s="454"/>
      <c r="O369" s="454"/>
      <c r="P369" s="454"/>
      <c r="Q369" s="454"/>
      <c r="R369" s="454"/>
      <c r="S369" s="454"/>
      <c r="T369" s="454"/>
      <c r="U369" s="454"/>
      <c r="V369" s="454"/>
      <c r="W369" s="454"/>
      <c r="X369" s="454"/>
      <c r="Y369" s="454"/>
      <c r="Z369" s="454"/>
      <c r="AA369" s="454"/>
      <c r="AB369" s="454"/>
      <c r="AC369" s="454"/>
      <c r="AD369" s="454"/>
      <c r="AE369" s="454"/>
      <c r="AF369" s="454"/>
      <c r="AG369" s="454"/>
      <c r="AH369" s="454"/>
      <c r="AI369" s="454"/>
      <c r="AJ369" s="769"/>
    </row>
    <row r="370" spans="1:36" ht="14.5" customHeight="1">
      <c r="A370" s="40"/>
      <c r="B370" s="40"/>
      <c r="C370" s="124"/>
      <c r="D370" s="124">
        <v>3</v>
      </c>
      <c r="E370" s="124" t="s">
        <v>199</v>
      </c>
      <c r="F370" s="451"/>
      <c r="G370" s="41"/>
      <c r="H370" s="66"/>
      <c r="I370" s="66" t="s">
        <v>116</v>
      </c>
      <c r="J370" s="452">
        <v>2000000</v>
      </c>
      <c r="K370" s="453"/>
      <c r="L370" s="217">
        <f>SUM(J370:K370)</f>
        <v>2000000</v>
      </c>
      <c r="M370" s="217">
        <v>739551</v>
      </c>
      <c r="N370" s="217"/>
      <c r="O370" s="217"/>
      <c r="P370" s="217"/>
      <c r="Q370" s="217"/>
      <c r="R370" s="217"/>
      <c r="S370" s="217">
        <f t="shared" ref="S370" si="363">SUM(M370:R370)</f>
        <v>739551</v>
      </c>
      <c r="T370" s="217">
        <f t="shared" ref="T370" si="364">S370+L370</f>
        <v>2739551</v>
      </c>
      <c r="U370" s="217"/>
      <c r="V370" s="217"/>
      <c r="W370" s="217"/>
      <c r="X370" s="217"/>
      <c r="Y370" s="217"/>
      <c r="Z370" s="217">
        <f>SUM(U370:Y370)</f>
        <v>0</v>
      </c>
      <c r="AA370" s="217">
        <f>Z370+T370</f>
        <v>2739551</v>
      </c>
      <c r="AB370" s="217"/>
      <c r="AC370" s="217"/>
      <c r="AD370" s="217"/>
      <c r="AE370" s="217"/>
      <c r="AF370" s="217"/>
      <c r="AG370" s="217">
        <f t="shared" ref="AG370" si="365">SUM(AB370:AF370)</f>
        <v>0</v>
      </c>
      <c r="AH370" s="217">
        <f t="shared" ref="AH370" si="366">AG370+AA370</f>
        <v>2739551</v>
      </c>
      <c r="AI370" s="217">
        <v>1519549</v>
      </c>
      <c r="AJ370" s="764">
        <f>AI370/AH370*100</f>
        <v>55.467082014534498</v>
      </c>
    </row>
    <row r="371" spans="1:36" ht="14">
      <c r="A371" s="40"/>
      <c r="B371" s="40"/>
      <c r="C371" s="124"/>
      <c r="D371" s="124"/>
      <c r="E371" s="124"/>
      <c r="F371" s="451"/>
      <c r="G371" s="41"/>
      <c r="H371" s="66"/>
      <c r="I371" s="66"/>
      <c r="J371" s="452"/>
      <c r="K371" s="453"/>
      <c r="L371" s="454"/>
      <c r="M371" s="454"/>
      <c r="N371" s="454"/>
      <c r="O371" s="454"/>
      <c r="P371" s="454"/>
      <c r="Q371" s="454"/>
      <c r="R371" s="454"/>
      <c r="S371" s="454"/>
      <c r="T371" s="454"/>
      <c r="U371" s="454"/>
      <c r="V371" s="454"/>
      <c r="W371" s="454"/>
      <c r="X371" s="454"/>
      <c r="Y371" s="454"/>
      <c r="Z371" s="454"/>
      <c r="AA371" s="454"/>
      <c r="AB371" s="454"/>
      <c r="AC371" s="454"/>
      <c r="AD371" s="454"/>
      <c r="AE371" s="454"/>
      <c r="AF371" s="454"/>
      <c r="AG371" s="454"/>
      <c r="AH371" s="454"/>
      <c r="AI371" s="454"/>
      <c r="AJ371" s="769"/>
    </row>
    <row r="372" spans="1:36" ht="14.5" customHeight="1">
      <c r="A372" s="40"/>
      <c r="B372" s="40"/>
      <c r="C372" s="124"/>
      <c r="D372" s="124"/>
      <c r="E372" s="124"/>
      <c r="F372" s="173"/>
      <c r="G372" s="64"/>
      <c r="H372" s="65"/>
      <c r="I372" s="64" t="s">
        <v>38</v>
      </c>
      <c r="J372" s="333">
        <f>SUM(J367:J371)</f>
        <v>2000000</v>
      </c>
      <c r="K372" s="457"/>
      <c r="L372" s="458">
        <f>SUM(L367:L371)</f>
        <v>2000000</v>
      </c>
      <c r="M372" s="458">
        <f>SUM(M370:M371)</f>
        <v>739551</v>
      </c>
      <c r="N372" s="458">
        <f t="shared" ref="N372:T372" si="367">SUM(N370:N371)</f>
        <v>0</v>
      </c>
      <c r="O372" s="458">
        <f t="shared" si="367"/>
        <v>0</v>
      </c>
      <c r="P372" s="458">
        <f t="shared" si="367"/>
        <v>0</v>
      </c>
      <c r="Q372" s="458">
        <f t="shared" si="367"/>
        <v>0</v>
      </c>
      <c r="R372" s="458">
        <f t="shared" si="367"/>
        <v>0</v>
      </c>
      <c r="S372" s="458">
        <f t="shared" si="367"/>
        <v>739551</v>
      </c>
      <c r="T372" s="458">
        <f t="shared" si="367"/>
        <v>2739551</v>
      </c>
      <c r="U372" s="458"/>
      <c r="V372" s="458"/>
      <c r="W372" s="458"/>
      <c r="X372" s="458"/>
      <c r="Y372" s="458"/>
      <c r="Z372" s="458">
        <f t="shared" ref="Z372:AA372" si="368">SUM(Z370:Z371)</f>
        <v>0</v>
      </c>
      <c r="AA372" s="458">
        <f t="shared" si="368"/>
        <v>2739551</v>
      </c>
      <c r="AB372" s="458"/>
      <c r="AC372" s="458"/>
      <c r="AD372" s="458"/>
      <c r="AE372" s="458"/>
      <c r="AF372" s="458"/>
      <c r="AG372" s="458">
        <f t="shared" ref="AG372:AH372" si="369">SUM(AG370:AG371)</f>
        <v>0</v>
      </c>
      <c r="AH372" s="458">
        <f t="shared" si="369"/>
        <v>2739551</v>
      </c>
      <c r="AI372" s="458">
        <f t="shared" ref="AI372" si="370">SUM(AI370:AI371)</f>
        <v>1519549</v>
      </c>
      <c r="AJ372" s="770">
        <f>AI372/AH372*100</f>
        <v>55.467082014534498</v>
      </c>
    </row>
    <row r="373" spans="1:36" ht="14.5" customHeight="1">
      <c r="A373" s="40"/>
      <c r="B373" s="40"/>
      <c r="C373" s="124"/>
      <c r="D373" s="124"/>
      <c r="E373" s="124"/>
      <c r="F373" s="451"/>
      <c r="G373" s="41"/>
      <c r="H373" s="66"/>
      <c r="I373" s="41"/>
      <c r="J373" s="126"/>
      <c r="K373" s="204"/>
      <c r="L373" s="205"/>
      <c r="M373" s="205"/>
      <c r="N373" s="205"/>
      <c r="O373" s="205"/>
      <c r="P373" s="205"/>
      <c r="Q373" s="205"/>
      <c r="R373" s="205"/>
      <c r="S373" s="205"/>
      <c r="T373" s="205"/>
      <c r="U373" s="205"/>
      <c r="V373" s="205"/>
      <c r="W373" s="205"/>
      <c r="X373" s="205"/>
      <c r="Y373" s="205"/>
      <c r="Z373" s="205"/>
      <c r="AA373" s="205"/>
      <c r="AB373" s="205"/>
      <c r="AC373" s="205"/>
      <c r="AD373" s="205"/>
      <c r="AE373" s="205"/>
      <c r="AF373" s="205"/>
      <c r="AG373" s="205"/>
      <c r="AH373" s="205"/>
      <c r="AI373" s="205"/>
      <c r="AJ373" s="747"/>
    </row>
    <row r="374" spans="1:36" ht="14.5" customHeight="1">
      <c r="A374" s="40"/>
      <c r="B374" s="40"/>
      <c r="C374" s="124"/>
      <c r="D374" s="124"/>
      <c r="E374" s="124"/>
      <c r="F374" s="463"/>
      <c r="G374" s="166"/>
      <c r="H374" s="464"/>
      <c r="I374" s="166" t="s">
        <v>37</v>
      </c>
      <c r="J374" s="460">
        <f>SUM(J354:J372)/2</f>
        <v>20000000</v>
      </c>
      <c r="K374" s="461"/>
      <c r="L374" s="460">
        <f>SUM(L354:L372)/2</f>
        <v>20000000</v>
      </c>
      <c r="M374" s="460">
        <f t="shared" ref="M374:T374" si="371">SUM(M354:M372)/2</f>
        <v>5274228</v>
      </c>
      <c r="N374" s="460">
        <f t="shared" si="371"/>
        <v>0</v>
      </c>
      <c r="O374" s="460">
        <f t="shared" si="371"/>
        <v>0</v>
      </c>
      <c r="P374" s="460">
        <f t="shared" si="371"/>
        <v>0</v>
      </c>
      <c r="Q374" s="460">
        <f t="shared" si="371"/>
        <v>0</v>
      </c>
      <c r="R374" s="460">
        <f t="shared" si="371"/>
        <v>0</v>
      </c>
      <c r="S374" s="460">
        <f t="shared" si="371"/>
        <v>5274228</v>
      </c>
      <c r="T374" s="460">
        <f t="shared" si="371"/>
        <v>25274228</v>
      </c>
      <c r="U374" s="460"/>
      <c r="V374" s="460"/>
      <c r="W374" s="460"/>
      <c r="X374" s="460"/>
      <c r="Y374" s="460"/>
      <c r="Z374" s="460">
        <f t="shared" ref="Z374:AA374" si="372">SUM(Z354:Z372)/2</f>
        <v>0</v>
      </c>
      <c r="AA374" s="460">
        <f t="shared" si="372"/>
        <v>25274228</v>
      </c>
      <c r="AB374" s="460"/>
      <c r="AC374" s="460"/>
      <c r="AD374" s="460"/>
      <c r="AE374" s="460">
        <f t="shared" ref="AE374:AH374" si="373">SUM(AE354:AE372)/2</f>
        <v>-116609</v>
      </c>
      <c r="AF374" s="460"/>
      <c r="AG374" s="460">
        <f t="shared" si="373"/>
        <v>-116609</v>
      </c>
      <c r="AH374" s="460">
        <f t="shared" si="373"/>
        <v>25157619</v>
      </c>
      <c r="AI374" s="460">
        <f t="shared" ref="AI374" si="374">SUM(AI354:AI372)/2</f>
        <v>15405025</v>
      </c>
      <c r="AJ374" s="771">
        <f>AI374/AH374*100</f>
        <v>61.234034111097714</v>
      </c>
    </row>
    <row r="375" spans="1:36" ht="14">
      <c r="A375" s="40"/>
      <c r="B375" s="40"/>
      <c r="C375" s="124"/>
      <c r="D375" s="124"/>
      <c r="E375" s="124"/>
      <c r="F375" s="451"/>
      <c r="G375" s="41"/>
      <c r="H375" s="66"/>
      <c r="I375" s="41"/>
      <c r="J375" s="126"/>
      <c r="K375" s="204"/>
      <c r="L375" s="205"/>
      <c r="M375" s="205"/>
      <c r="N375" s="205"/>
      <c r="O375" s="205"/>
      <c r="P375" s="205"/>
      <c r="Q375" s="205"/>
      <c r="R375" s="205"/>
      <c r="S375" s="205"/>
      <c r="T375" s="205"/>
      <c r="U375" s="205"/>
      <c r="V375" s="205"/>
      <c r="W375" s="205"/>
      <c r="X375" s="205"/>
      <c r="Y375" s="205"/>
      <c r="Z375" s="205"/>
      <c r="AA375" s="205"/>
      <c r="AB375" s="205"/>
      <c r="AC375" s="205"/>
      <c r="AD375" s="205"/>
      <c r="AE375" s="205"/>
      <c r="AF375" s="205"/>
      <c r="AG375" s="205"/>
      <c r="AH375" s="205"/>
      <c r="AI375" s="205"/>
      <c r="AJ375" s="747"/>
    </row>
    <row r="376" spans="1:36" ht="14">
      <c r="A376" s="40">
        <v>8</v>
      </c>
      <c r="B376" s="40"/>
      <c r="C376" s="124"/>
      <c r="D376" s="124"/>
      <c r="E376" s="124"/>
      <c r="F376" s="451" t="s">
        <v>14</v>
      </c>
      <c r="G376" s="41"/>
      <c r="H376" s="66"/>
      <c r="I376" s="41"/>
      <c r="J376" s="126"/>
      <c r="K376" s="204"/>
      <c r="L376" s="205"/>
      <c r="M376" s="205"/>
      <c r="N376" s="205"/>
      <c r="O376" s="205"/>
      <c r="P376" s="205"/>
      <c r="Q376" s="205"/>
      <c r="R376" s="205"/>
      <c r="S376" s="205"/>
      <c r="T376" s="205"/>
      <c r="U376" s="205"/>
      <c r="V376" s="205"/>
      <c r="W376" s="205"/>
      <c r="X376" s="205"/>
      <c r="Y376" s="205"/>
      <c r="Z376" s="205"/>
      <c r="AA376" s="205"/>
      <c r="AB376" s="205"/>
      <c r="AC376" s="205"/>
      <c r="AD376" s="205"/>
      <c r="AE376" s="205"/>
      <c r="AF376" s="205"/>
      <c r="AG376" s="205"/>
      <c r="AH376" s="205"/>
      <c r="AI376" s="205"/>
      <c r="AJ376" s="747"/>
    </row>
    <row r="377" spans="1:36" ht="14">
      <c r="A377" s="40"/>
      <c r="B377" s="40">
        <v>1</v>
      </c>
      <c r="C377" s="124"/>
      <c r="D377" s="124"/>
      <c r="F377" s="451"/>
      <c r="G377" s="459" t="s">
        <v>170</v>
      </c>
      <c r="H377" s="66"/>
      <c r="I377" s="66"/>
      <c r="J377" s="452"/>
      <c r="K377" s="453"/>
      <c r="L377" s="454"/>
      <c r="M377" s="454"/>
      <c r="N377" s="454"/>
      <c r="O377" s="454"/>
      <c r="P377" s="454"/>
      <c r="Q377" s="454"/>
      <c r="R377" s="454"/>
      <c r="S377" s="454"/>
      <c r="T377" s="454"/>
      <c r="U377" s="454"/>
      <c r="V377" s="454"/>
      <c r="W377" s="454"/>
      <c r="X377" s="454"/>
      <c r="Y377" s="454"/>
      <c r="Z377" s="454"/>
      <c r="AA377" s="454"/>
      <c r="AB377" s="454"/>
      <c r="AC377" s="454"/>
      <c r="AD377" s="454"/>
      <c r="AE377" s="454"/>
      <c r="AF377" s="454"/>
      <c r="AG377" s="454"/>
      <c r="AH377" s="454"/>
      <c r="AI377" s="454"/>
      <c r="AJ377" s="769"/>
    </row>
    <row r="378" spans="1:36" ht="14">
      <c r="A378" s="40"/>
      <c r="B378" s="40"/>
      <c r="C378" s="124">
        <v>1</v>
      </c>
      <c r="D378" s="124"/>
      <c r="E378" s="124"/>
      <c r="F378" s="451"/>
      <c r="G378" s="41"/>
      <c r="H378" s="66" t="s">
        <v>35</v>
      </c>
      <c r="I378" s="66"/>
      <c r="J378" s="452"/>
      <c r="K378" s="453"/>
      <c r="L378" s="454"/>
      <c r="M378" s="454"/>
      <c r="N378" s="454"/>
      <c r="O378" s="454"/>
      <c r="P378" s="454"/>
      <c r="Q378" s="454"/>
      <c r="R378" s="454"/>
      <c r="S378" s="454"/>
      <c r="T378" s="454"/>
      <c r="U378" s="454"/>
      <c r="V378" s="454"/>
      <c r="W378" s="454"/>
      <c r="X378" s="454"/>
      <c r="Y378" s="454"/>
      <c r="Z378" s="454"/>
      <c r="AA378" s="454"/>
      <c r="AB378" s="454"/>
      <c r="AC378" s="454"/>
      <c r="AD378" s="454"/>
      <c r="AE378" s="454"/>
      <c r="AF378" s="454"/>
      <c r="AG378" s="454"/>
      <c r="AH378" s="454"/>
      <c r="AI378" s="454"/>
      <c r="AJ378" s="769"/>
    </row>
    <row r="379" spans="1:36" ht="14">
      <c r="A379" s="40"/>
      <c r="B379" s="40"/>
      <c r="C379" s="124"/>
      <c r="D379" s="124">
        <v>3</v>
      </c>
      <c r="E379" s="124" t="s">
        <v>199</v>
      </c>
      <c r="F379" s="451"/>
      <c r="G379" s="41"/>
      <c r="H379" s="66"/>
      <c r="I379" s="66" t="s">
        <v>116</v>
      </c>
      <c r="J379" s="452">
        <v>500000</v>
      </c>
      <c r="K379" s="453"/>
      <c r="L379" s="217">
        <f>SUM(J379:K379)</f>
        <v>500000</v>
      </c>
      <c r="M379" s="217">
        <v>395959</v>
      </c>
      <c r="N379" s="217"/>
      <c r="O379" s="217"/>
      <c r="P379" s="217"/>
      <c r="Q379" s="217"/>
      <c r="R379" s="217"/>
      <c r="S379" s="217">
        <f t="shared" ref="S379" si="375">SUM(M379:R379)</f>
        <v>395959</v>
      </c>
      <c r="T379" s="217">
        <f t="shared" ref="T379" si="376">S379+L379</f>
        <v>895959</v>
      </c>
      <c r="U379" s="217"/>
      <c r="V379" s="217"/>
      <c r="W379" s="217"/>
      <c r="X379" s="217"/>
      <c r="Y379" s="217"/>
      <c r="Z379" s="217">
        <f>SUM(U379:Y379)</f>
        <v>0</v>
      </c>
      <c r="AA379" s="217">
        <f>Z379+T379</f>
        <v>895959</v>
      </c>
      <c r="AB379" s="217"/>
      <c r="AC379" s="217"/>
      <c r="AD379" s="217"/>
      <c r="AE379" s="217">
        <v>-370908</v>
      </c>
      <c r="AF379" s="217"/>
      <c r="AG379" s="217">
        <f t="shared" ref="AG379" si="377">SUM(AB379:AF379)</f>
        <v>-370908</v>
      </c>
      <c r="AH379" s="217">
        <f t="shared" ref="AH379" si="378">AG379+AA379</f>
        <v>525051</v>
      </c>
      <c r="AI379" s="217">
        <v>25051</v>
      </c>
      <c r="AJ379" s="764">
        <f>AI379/AH379*100</f>
        <v>4.771155563935694</v>
      </c>
    </row>
    <row r="380" spans="1:36" ht="14">
      <c r="A380" s="40"/>
      <c r="B380" s="40"/>
      <c r="C380" s="124"/>
      <c r="D380" s="124"/>
      <c r="E380" s="124"/>
      <c r="F380" s="451"/>
      <c r="G380" s="41"/>
      <c r="H380" s="66"/>
      <c r="I380" s="66"/>
      <c r="J380" s="452"/>
      <c r="K380" s="453"/>
      <c r="L380" s="454"/>
      <c r="M380" s="454"/>
      <c r="N380" s="454"/>
      <c r="O380" s="454"/>
      <c r="P380" s="454"/>
      <c r="Q380" s="454"/>
      <c r="R380" s="454"/>
      <c r="S380" s="454"/>
      <c r="T380" s="454"/>
      <c r="U380" s="454"/>
      <c r="V380" s="454"/>
      <c r="W380" s="454"/>
      <c r="X380" s="454"/>
      <c r="Y380" s="454"/>
      <c r="Z380" s="454"/>
      <c r="AA380" s="454"/>
      <c r="AB380" s="454"/>
      <c r="AC380" s="454"/>
      <c r="AD380" s="454"/>
      <c r="AE380" s="454"/>
      <c r="AF380" s="454"/>
      <c r="AG380" s="454"/>
      <c r="AH380" s="454"/>
      <c r="AI380" s="454"/>
      <c r="AJ380" s="769"/>
    </row>
    <row r="381" spans="1:36" ht="14">
      <c r="A381" s="40"/>
      <c r="B381" s="40"/>
      <c r="C381" s="124"/>
      <c r="D381" s="124"/>
      <c r="E381" s="124"/>
      <c r="F381" s="173"/>
      <c r="G381" s="64"/>
      <c r="H381" s="65"/>
      <c r="I381" s="64" t="s">
        <v>38</v>
      </c>
      <c r="J381" s="333">
        <f>SUM(J379:J380)</f>
        <v>500000</v>
      </c>
      <c r="K381" s="457"/>
      <c r="L381" s="458">
        <f>SUM(L376:L380)</f>
        <v>500000</v>
      </c>
      <c r="M381" s="458">
        <f t="shared" ref="M381:T381" si="379">SUM(M376:M380)</f>
        <v>395959</v>
      </c>
      <c r="N381" s="458">
        <f t="shared" si="379"/>
        <v>0</v>
      </c>
      <c r="O381" s="458">
        <f t="shared" si="379"/>
        <v>0</v>
      </c>
      <c r="P381" s="458">
        <f t="shared" si="379"/>
        <v>0</v>
      </c>
      <c r="Q381" s="458">
        <f t="shared" si="379"/>
        <v>0</v>
      </c>
      <c r="R381" s="458">
        <f t="shared" si="379"/>
        <v>0</v>
      </c>
      <c r="S381" s="458">
        <f t="shared" si="379"/>
        <v>395959</v>
      </c>
      <c r="T381" s="458">
        <f t="shared" si="379"/>
        <v>895959</v>
      </c>
      <c r="U381" s="458"/>
      <c r="V381" s="458"/>
      <c r="W381" s="458"/>
      <c r="X381" s="458"/>
      <c r="Y381" s="458"/>
      <c r="Z381" s="458">
        <f t="shared" ref="Z381:AA381" si="380">SUM(Z376:Z380)</f>
        <v>0</v>
      </c>
      <c r="AA381" s="458">
        <f t="shared" si="380"/>
        <v>895959</v>
      </c>
      <c r="AB381" s="458"/>
      <c r="AC381" s="458"/>
      <c r="AD381" s="458"/>
      <c r="AE381" s="458">
        <f t="shared" ref="AE381:AI381" si="381">SUM(AE376:AE380)</f>
        <v>-370908</v>
      </c>
      <c r="AF381" s="458"/>
      <c r="AG381" s="458">
        <f t="shared" si="381"/>
        <v>-370908</v>
      </c>
      <c r="AH381" s="458">
        <f t="shared" si="381"/>
        <v>525051</v>
      </c>
      <c r="AI381" s="458">
        <f t="shared" si="381"/>
        <v>25051</v>
      </c>
      <c r="AJ381" s="770">
        <f>AI381/AH381*100</f>
        <v>4.771155563935694</v>
      </c>
    </row>
    <row r="382" spans="1:36" ht="14">
      <c r="A382" s="40"/>
      <c r="B382" s="40"/>
      <c r="C382" s="124"/>
      <c r="D382" s="124"/>
      <c r="E382" s="124"/>
      <c r="F382" s="451"/>
      <c r="G382" s="41"/>
      <c r="H382" s="66"/>
      <c r="I382" s="41"/>
      <c r="J382" s="126"/>
      <c r="K382" s="204"/>
      <c r="L382" s="205"/>
      <c r="M382" s="205"/>
      <c r="N382" s="205"/>
      <c r="O382" s="205"/>
      <c r="P382" s="205"/>
      <c r="Q382" s="205"/>
      <c r="R382" s="205"/>
      <c r="S382" s="205"/>
      <c r="T382" s="205"/>
      <c r="U382" s="205"/>
      <c r="V382" s="205"/>
      <c r="W382" s="205"/>
      <c r="X382" s="205"/>
      <c r="Y382" s="205"/>
      <c r="Z382" s="205"/>
      <c r="AA382" s="205"/>
      <c r="AB382" s="205"/>
      <c r="AC382" s="205"/>
      <c r="AD382" s="205"/>
      <c r="AE382" s="205"/>
      <c r="AF382" s="205"/>
      <c r="AG382" s="205"/>
      <c r="AH382" s="205"/>
      <c r="AI382" s="205"/>
      <c r="AJ382" s="747"/>
    </row>
    <row r="383" spans="1:36" ht="14">
      <c r="A383" s="40"/>
      <c r="B383" s="40">
        <v>2</v>
      </c>
      <c r="C383" s="124"/>
      <c r="D383" s="124"/>
      <c r="F383" s="451"/>
      <c r="G383" s="459" t="s">
        <v>70</v>
      </c>
      <c r="H383" s="66"/>
      <c r="I383" s="66"/>
      <c r="J383" s="452"/>
      <c r="K383" s="453"/>
      <c r="L383" s="454"/>
      <c r="M383" s="454"/>
      <c r="N383" s="454"/>
      <c r="O383" s="454"/>
      <c r="P383" s="454"/>
      <c r="Q383" s="454"/>
      <c r="R383" s="454"/>
      <c r="S383" s="454"/>
      <c r="T383" s="454"/>
      <c r="U383" s="454"/>
      <c r="V383" s="454"/>
      <c r="W383" s="454"/>
      <c r="X383" s="454"/>
      <c r="Y383" s="454"/>
      <c r="Z383" s="454"/>
      <c r="AA383" s="454"/>
      <c r="AB383" s="454"/>
      <c r="AC383" s="454"/>
      <c r="AD383" s="454"/>
      <c r="AE383" s="454"/>
      <c r="AF383" s="454"/>
      <c r="AG383" s="454"/>
      <c r="AH383" s="454"/>
      <c r="AI383" s="454"/>
      <c r="AJ383" s="769"/>
    </row>
    <row r="384" spans="1:36" ht="14">
      <c r="A384" s="40"/>
      <c r="B384" s="40"/>
      <c r="C384" s="124">
        <v>1</v>
      </c>
      <c r="D384" s="124"/>
      <c r="E384" s="124"/>
      <c r="F384" s="451"/>
      <c r="G384" s="41"/>
      <c r="H384" s="66" t="s">
        <v>35</v>
      </c>
      <c r="I384" s="66"/>
      <c r="J384" s="452"/>
      <c r="K384" s="453"/>
      <c r="L384" s="454"/>
      <c r="M384" s="454"/>
      <c r="N384" s="454"/>
      <c r="O384" s="454"/>
      <c r="P384" s="454"/>
      <c r="Q384" s="454"/>
      <c r="R384" s="454"/>
      <c r="S384" s="454"/>
      <c r="T384" s="454"/>
      <c r="U384" s="454"/>
      <c r="V384" s="454"/>
      <c r="W384" s="454"/>
      <c r="X384" s="454"/>
      <c r="Y384" s="454"/>
      <c r="Z384" s="454"/>
      <c r="AA384" s="454"/>
      <c r="AB384" s="454"/>
      <c r="AC384" s="454"/>
      <c r="AD384" s="454"/>
      <c r="AE384" s="454"/>
      <c r="AF384" s="454"/>
      <c r="AG384" s="454"/>
      <c r="AH384" s="454"/>
      <c r="AI384" s="454"/>
      <c r="AJ384" s="769"/>
    </row>
    <row r="385" spans="1:36" ht="14">
      <c r="A385" s="40"/>
      <c r="B385" s="40"/>
      <c r="C385" s="124"/>
      <c r="D385" s="124">
        <v>3</v>
      </c>
      <c r="E385" s="124" t="s">
        <v>199</v>
      </c>
      <c r="F385" s="451"/>
      <c r="G385" s="41"/>
      <c r="H385" s="66"/>
      <c r="I385" s="66" t="s">
        <v>116</v>
      </c>
      <c r="J385" s="452">
        <v>100000</v>
      </c>
      <c r="K385" s="453"/>
      <c r="L385" s="217">
        <f>SUM(J385:K385)</f>
        <v>100000</v>
      </c>
      <c r="M385" s="217"/>
      <c r="N385" s="217"/>
      <c r="O385" s="217"/>
      <c r="P385" s="217"/>
      <c r="Q385" s="217"/>
      <c r="R385" s="217"/>
      <c r="S385" s="217">
        <f t="shared" ref="S385" si="382">SUM(M385:R385)</f>
        <v>0</v>
      </c>
      <c r="T385" s="217">
        <f t="shared" ref="T385" si="383">S385+L385</f>
        <v>100000</v>
      </c>
      <c r="U385" s="217"/>
      <c r="V385" s="217"/>
      <c r="W385" s="217"/>
      <c r="X385" s="217"/>
      <c r="Y385" s="217"/>
      <c r="Z385" s="217">
        <f>SUM(U385:Y385)</f>
        <v>0</v>
      </c>
      <c r="AA385" s="217">
        <f>Z385+T385</f>
        <v>100000</v>
      </c>
      <c r="AB385" s="217"/>
      <c r="AC385" s="217"/>
      <c r="AD385" s="217"/>
      <c r="AE385" s="217"/>
      <c r="AF385" s="217"/>
      <c r="AG385" s="217">
        <f t="shared" ref="AG385" si="384">SUM(AB385:AF385)</f>
        <v>0</v>
      </c>
      <c r="AH385" s="217">
        <f t="shared" ref="AH385" si="385">AG385+AA385</f>
        <v>100000</v>
      </c>
      <c r="AI385" s="217"/>
      <c r="AJ385" s="764"/>
    </row>
    <row r="386" spans="1:36" ht="6.5" customHeight="1">
      <c r="A386" s="40"/>
      <c r="B386" s="40"/>
      <c r="C386" s="124"/>
      <c r="D386" s="124"/>
      <c r="E386" s="124"/>
      <c r="F386" s="451"/>
      <c r="G386" s="41"/>
      <c r="H386" s="66"/>
      <c r="I386" s="66"/>
      <c r="J386" s="452"/>
      <c r="K386" s="453"/>
      <c r="L386" s="454"/>
      <c r="M386" s="454"/>
      <c r="N386" s="454"/>
      <c r="O386" s="454"/>
      <c r="P386" s="454"/>
      <c r="Q386" s="454"/>
      <c r="R386" s="454"/>
      <c r="S386" s="454"/>
      <c r="T386" s="454"/>
      <c r="U386" s="454"/>
      <c r="V386" s="454"/>
      <c r="W386" s="454"/>
      <c r="X386" s="454"/>
      <c r="Y386" s="454"/>
      <c r="Z386" s="454"/>
      <c r="AA386" s="454"/>
      <c r="AB386" s="454"/>
      <c r="AC386" s="454"/>
      <c r="AD386" s="454"/>
      <c r="AE386" s="454"/>
      <c r="AF386" s="454"/>
      <c r="AG386" s="454"/>
      <c r="AH386" s="454"/>
      <c r="AI386" s="454"/>
      <c r="AJ386" s="769"/>
    </row>
    <row r="387" spans="1:36" ht="14">
      <c r="A387" s="40"/>
      <c r="B387" s="40"/>
      <c r="C387" s="124"/>
      <c r="D387" s="124"/>
      <c r="E387" s="124"/>
      <c r="F387" s="173"/>
      <c r="G387" s="64"/>
      <c r="H387" s="65"/>
      <c r="I387" s="64" t="s">
        <v>38</v>
      </c>
      <c r="J387" s="333">
        <f>SUM(J385:J386)</f>
        <v>100000</v>
      </c>
      <c r="K387" s="457"/>
      <c r="L387" s="458">
        <f>SUM(L385:L386)</f>
        <v>100000</v>
      </c>
      <c r="M387" s="458">
        <f t="shared" ref="M387:T387" si="386">SUM(M385:M386)</f>
        <v>0</v>
      </c>
      <c r="N387" s="458">
        <f t="shared" si="386"/>
        <v>0</v>
      </c>
      <c r="O387" s="458">
        <f t="shared" si="386"/>
        <v>0</v>
      </c>
      <c r="P387" s="458">
        <f t="shared" si="386"/>
        <v>0</v>
      </c>
      <c r="Q387" s="458">
        <f t="shared" si="386"/>
        <v>0</v>
      </c>
      <c r="R387" s="458">
        <f t="shared" si="386"/>
        <v>0</v>
      </c>
      <c r="S387" s="458">
        <f t="shared" si="386"/>
        <v>0</v>
      </c>
      <c r="T387" s="458">
        <f t="shared" si="386"/>
        <v>100000</v>
      </c>
      <c r="U387" s="458"/>
      <c r="V387" s="458"/>
      <c r="W387" s="458"/>
      <c r="X387" s="458"/>
      <c r="Y387" s="458"/>
      <c r="Z387" s="458">
        <f t="shared" ref="Z387:AA387" si="387">SUM(Z385:Z386)</f>
        <v>0</v>
      </c>
      <c r="AA387" s="458">
        <f t="shared" si="387"/>
        <v>100000</v>
      </c>
      <c r="AB387" s="458"/>
      <c r="AC387" s="458"/>
      <c r="AD387" s="458"/>
      <c r="AE387" s="458"/>
      <c r="AF387" s="458"/>
      <c r="AG387" s="458">
        <f t="shared" ref="AG387:AH387" si="388">SUM(AG385:AG386)</f>
        <v>0</v>
      </c>
      <c r="AH387" s="458">
        <f t="shared" si="388"/>
        <v>100000</v>
      </c>
      <c r="AI387" s="458"/>
      <c r="AJ387" s="770"/>
    </row>
    <row r="388" spans="1:36" ht="14">
      <c r="A388" s="40"/>
      <c r="B388" s="40"/>
      <c r="C388" s="124"/>
      <c r="D388" s="124"/>
      <c r="E388" s="124"/>
      <c r="F388" s="451"/>
      <c r="G388" s="41"/>
      <c r="H388" s="66"/>
      <c r="I388" s="66"/>
      <c r="J388" s="452"/>
      <c r="K388" s="453"/>
      <c r="L388" s="454"/>
      <c r="M388" s="454"/>
      <c r="N388" s="454"/>
      <c r="O388" s="454"/>
      <c r="P388" s="454"/>
      <c r="Q388" s="454"/>
      <c r="R388" s="454"/>
      <c r="S388" s="454"/>
      <c r="T388" s="454"/>
      <c r="U388" s="454"/>
      <c r="V388" s="454"/>
      <c r="W388" s="454"/>
      <c r="X388" s="454"/>
      <c r="Y388" s="454"/>
      <c r="Z388" s="454"/>
      <c r="AA388" s="454"/>
      <c r="AB388" s="454"/>
      <c r="AC388" s="454"/>
      <c r="AD388" s="454"/>
      <c r="AE388" s="454"/>
      <c r="AF388" s="454"/>
      <c r="AG388" s="454"/>
      <c r="AH388" s="454"/>
      <c r="AI388" s="454"/>
      <c r="AJ388" s="769"/>
    </row>
    <row r="389" spans="1:36" ht="14">
      <c r="A389" s="40"/>
      <c r="B389" s="40"/>
      <c r="C389" s="124"/>
      <c r="D389" s="124"/>
      <c r="E389" s="124"/>
      <c r="F389" s="166"/>
      <c r="G389" s="166"/>
      <c r="H389" s="464"/>
      <c r="I389" s="166" t="s">
        <v>37</v>
      </c>
      <c r="J389" s="460">
        <f>SUM(J376:J388)/2</f>
        <v>600000</v>
      </c>
      <c r="K389" s="461"/>
      <c r="L389" s="460">
        <f>SUM(L376:L388)/2</f>
        <v>600000</v>
      </c>
      <c r="M389" s="460">
        <f t="shared" ref="M389:T389" si="389">SUM(M376:M388)/2</f>
        <v>395959</v>
      </c>
      <c r="N389" s="460">
        <f t="shared" si="389"/>
        <v>0</v>
      </c>
      <c r="O389" s="460">
        <f t="shared" si="389"/>
        <v>0</v>
      </c>
      <c r="P389" s="460">
        <f t="shared" si="389"/>
        <v>0</v>
      </c>
      <c r="Q389" s="460">
        <f t="shared" si="389"/>
        <v>0</v>
      </c>
      <c r="R389" s="460">
        <f t="shared" si="389"/>
        <v>0</v>
      </c>
      <c r="S389" s="460">
        <f t="shared" si="389"/>
        <v>395959</v>
      </c>
      <c r="T389" s="460">
        <f t="shared" si="389"/>
        <v>995959</v>
      </c>
      <c r="U389" s="460"/>
      <c r="V389" s="460"/>
      <c r="W389" s="460"/>
      <c r="X389" s="460"/>
      <c r="Y389" s="460"/>
      <c r="Z389" s="460">
        <f t="shared" ref="Z389:AA389" si="390">SUM(Z376:Z388)/2</f>
        <v>0</v>
      </c>
      <c r="AA389" s="460">
        <f t="shared" si="390"/>
        <v>995959</v>
      </c>
      <c r="AB389" s="460"/>
      <c r="AC389" s="460"/>
      <c r="AD389" s="460"/>
      <c r="AE389" s="460">
        <f t="shared" ref="AE389:AI389" si="391">SUM(AE376:AE388)/2</f>
        <v>-370908</v>
      </c>
      <c r="AF389" s="460"/>
      <c r="AG389" s="460">
        <f t="shared" si="391"/>
        <v>-370908</v>
      </c>
      <c r="AH389" s="460">
        <f t="shared" si="391"/>
        <v>625051</v>
      </c>
      <c r="AI389" s="460">
        <f t="shared" si="391"/>
        <v>25051</v>
      </c>
      <c r="AJ389" s="771">
        <f>AI389/AH389*100</f>
        <v>4.0078329608303962</v>
      </c>
    </row>
    <row r="390" spans="1:36" ht="14">
      <c r="A390" s="677"/>
      <c r="B390" s="677"/>
      <c r="C390" s="465"/>
      <c r="D390" s="465"/>
      <c r="E390" s="465"/>
      <c r="F390" s="66"/>
      <c r="G390" s="41"/>
      <c r="H390" s="66"/>
      <c r="I390" s="41"/>
      <c r="J390" s="126"/>
      <c r="K390" s="204"/>
      <c r="L390" s="205"/>
      <c r="M390" s="205"/>
      <c r="N390" s="205"/>
      <c r="O390" s="205"/>
      <c r="P390" s="205"/>
      <c r="Q390" s="205"/>
      <c r="R390" s="205"/>
      <c r="S390" s="205"/>
      <c r="T390" s="205"/>
      <c r="U390" s="205"/>
      <c r="V390" s="205"/>
      <c r="W390" s="205"/>
      <c r="X390" s="205"/>
      <c r="Y390" s="205"/>
      <c r="Z390" s="205"/>
      <c r="AA390" s="205"/>
      <c r="AB390" s="205"/>
      <c r="AC390" s="205"/>
      <c r="AD390" s="205"/>
      <c r="AE390" s="205"/>
      <c r="AF390" s="205"/>
      <c r="AG390" s="205"/>
      <c r="AH390" s="205"/>
      <c r="AI390" s="205"/>
      <c r="AJ390" s="747"/>
    </row>
    <row r="391" spans="1:36" ht="26" customHeight="1">
      <c r="A391" s="40">
        <v>9</v>
      </c>
      <c r="B391" s="40"/>
      <c r="C391" s="124"/>
      <c r="D391" s="124"/>
      <c r="E391" s="466"/>
      <c r="F391" s="942" t="s">
        <v>305</v>
      </c>
      <c r="G391" s="943"/>
      <c r="H391" s="943"/>
      <c r="I391" s="936"/>
      <c r="J391" s="452"/>
      <c r="K391" s="453"/>
      <c r="L391" s="454"/>
      <c r="M391" s="454"/>
      <c r="N391" s="454"/>
      <c r="O391" s="454"/>
      <c r="P391" s="454"/>
      <c r="Q391" s="454"/>
      <c r="R391" s="454"/>
      <c r="S391" s="454"/>
      <c r="T391" s="454"/>
      <c r="U391" s="454"/>
      <c r="V391" s="454"/>
      <c r="W391" s="454"/>
      <c r="X391" s="454"/>
      <c r="Y391" s="454"/>
      <c r="Z391" s="454"/>
      <c r="AA391" s="454"/>
      <c r="AB391" s="454"/>
      <c r="AC391" s="454"/>
      <c r="AD391" s="454"/>
      <c r="AE391" s="454"/>
      <c r="AF391" s="454"/>
      <c r="AG391" s="454"/>
      <c r="AH391" s="454"/>
      <c r="AI391" s="454"/>
      <c r="AJ391" s="769"/>
    </row>
    <row r="392" spans="1:36" ht="33.5" customHeight="1">
      <c r="A392" s="40"/>
      <c r="B392" s="40">
        <v>1</v>
      </c>
      <c r="C392" s="124"/>
      <c r="D392" s="124"/>
      <c r="E392" s="124"/>
      <c r="F392" s="41"/>
      <c r="G392" s="935" t="s">
        <v>376</v>
      </c>
      <c r="H392" s="935"/>
      <c r="I392" s="936"/>
      <c r="J392" s="452"/>
      <c r="K392" s="453"/>
      <c r="L392" s="217"/>
      <c r="M392" s="217"/>
      <c r="N392" s="217"/>
      <c r="O392" s="217"/>
      <c r="P392" s="217"/>
      <c r="Q392" s="217"/>
      <c r="R392" s="217"/>
      <c r="S392" s="217"/>
      <c r="T392" s="217"/>
      <c r="U392" s="217"/>
      <c r="V392" s="217"/>
      <c r="W392" s="217"/>
      <c r="X392" s="217"/>
      <c r="Y392" s="217"/>
      <c r="Z392" s="217"/>
      <c r="AA392" s="217"/>
      <c r="AB392" s="217"/>
      <c r="AC392" s="217"/>
      <c r="AD392" s="217"/>
      <c r="AE392" s="217"/>
      <c r="AF392" s="217"/>
      <c r="AG392" s="217"/>
      <c r="AH392" s="217"/>
      <c r="AI392" s="217"/>
      <c r="AJ392" s="764"/>
    </row>
    <row r="393" spans="1:36" ht="14">
      <c r="A393" s="40"/>
      <c r="B393" s="40"/>
      <c r="C393" s="124">
        <v>1</v>
      </c>
      <c r="D393" s="124"/>
      <c r="E393" s="124"/>
      <c r="F393" s="41"/>
      <c r="G393" s="41"/>
      <c r="H393" s="66" t="s">
        <v>35</v>
      </c>
      <c r="I393" s="125"/>
      <c r="J393" s="452"/>
      <c r="K393" s="453"/>
      <c r="L393" s="454"/>
      <c r="M393" s="454"/>
      <c r="N393" s="454"/>
      <c r="O393" s="454"/>
      <c r="P393" s="454"/>
      <c r="Q393" s="454"/>
      <c r="R393" s="454"/>
      <c r="S393" s="454"/>
      <c r="T393" s="454"/>
      <c r="U393" s="454"/>
      <c r="V393" s="454"/>
      <c r="W393" s="454"/>
      <c r="X393" s="454"/>
      <c r="Y393" s="454"/>
      <c r="Z393" s="454"/>
      <c r="AA393" s="454"/>
      <c r="AB393" s="454"/>
      <c r="AC393" s="454"/>
      <c r="AD393" s="454"/>
      <c r="AE393" s="454"/>
      <c r="AF393" s="454"/>
      <c r="AG393" s="454"/>
      <c r="AH393" s="454"/>
      <c r="AI393" s="454"/>
      <c r="AJ393" s="769"/>
    </row>
    <row r="394" spans="1:36" ht="14">
      <c r="A394" s="40"/>
      <c r="B394" s="40"/>
      <c r="C394" s="124"/>
      <c r="D394" s="124">
        <v>5</v>
      </c>
      <c r="E394" s="124" t="s">
        <v>199</v>
      </c>
      <c r="F394" s="451"/>
      <c r="G394" s="41"/>
      <c r="H394" s="66"/>
      <c r="I394" s="66" t="s">
        <v>185</v>
      </c>
      <c r="J394" s="452">
        <v>15000000</v>
      </c>
      <c r="K394" s="453"/>
      <c r="L394" s="217">
        <f>SUM(J394:K394)</f>
        <v>15000000</v>
      </c>
      <c r="M394" s="217"/>
      <c r="N394" s="217"/>
      <c r="O394" s="217"/>
      <c r="P394" s="217"/>
      <c r="Q394" s="217"/>
      <c r="R394" s="217"/>
      <c r="S394" s="217">
        <f t="shared" ref="S394" si="392">SUM(M394:R394)</f>
        <v>0</v>
      </c>
      <c r="T394" s="217">
        <f t="shared" ref="T394" si="393">S394+L394</f>
        <v>15000000</v>
      </c>
      <c r="U394" s="217"/>
      <c r="V394" s="217"/>
      <c r="W394" s="217"/>
      <c r="X394" s="217"/>
      <c r="Y394" s="217"/>
      <c r="Z394" s="217">
        <f>SUM(U394:Y394)</f>
        <v>0</v>
      </c>
      <c r="AA394" s="217">
        <f>Z394+T394</f>
        <v>15000000</v>
      </c>
      <c r="AB394" s="217"/>
      <c r="AC394" s="217"/>
      <c r="AD394" s="217"/>
      <c r="AE394" s="217"/>
      <c r="AF394" s="217"/>
      <c r="AG394" s="217">
        <f t="shared" ref="AG394" si="394">SUM(AB394:AF394)</f>
        <v>0</v>
      </c>
      <c r="AH394" s="217">
        <f t="shared" ref="AH394" si="395">AG394+AA394</f>
        <v>15000000</v>
      </c>
      <c r="AI394" s="217">
        <v>11000000</v>
      </c>
      <c r="AJ394" s="764">
        <f>AI394/AH394*100</f>
        <v>73.333333333333329</v>
      </c>
    </row>
    <row r="395" spans="1:36" ht="14">
      <c r="A395" s="40"/>
      <c r="B395" s="40"/>
      <c r="C395" s="124"/>
      <c r="D395" s="124"/>
      <c r="E395" s="124"/>
      <c r="F395" s="41"/>
      <c r="G395" s="41"/>
      <c r="H395" s="66"/>
      <c r="I395" s="66"/>
      <c r="J395" s="452"/>
      <c r="K395" s="453"/>
      <c r="L395" s="217"/>
      <c r="M395" s="217"/>
      <c r="N395" s="217"/>
      <c r="O395" s="217"/>
      <c r="P395" s="217"/>
      <c r="Q395" s="217"/>
      <c r="R395" s="217"/>
      <c r="S395" s="217"/>
      <c r="T395" s="217"/>
      <c r="U395" s="217"/>
      <c r="V395" s="217"/>
      <c r="W395" s="217"/>
      <c r="X395" s="217"/>
      <c r="Y395" s="217"/>
      <c r="Z395" s="217"/>
      <c r="AA395" s="217"/>
      <c r="AB395" s="217"/>
      <c r="AC395" s="217"/>
      <c r="AD395" s="217"/>
      <c r="AE395" s="217"/>
      <c r="AF395" s="217"/>
      <c r="AG395" s="217"/>
      <c r="AH395" s="217"/>
      <c r="AI395" s="217"/>
      <c r="AJ395" s="764"/>
    </row>
    <row r="396" spans="1:36" ht="14">
      <c r="A396" s="40"/>
      <c r="B396" s="40"/>
      <c r="C396" s="124"/>
      <c r="D396" s="124"/>
      <c r="E396" s="124"/>
      <c r="F396" s="173"/>
      <c r="G396" s="64"/>
      <c r="H396" s="65"/>
      <c r="I396" s="64" t="s">
        <v>38</v>
      </c>
      <c r="J396" s="333">
        <f>SUM(J394:J395)</f>
        <v>15000000</v>
      </c>
      <c r="K396" s="457"/>
      <c r="L396" s="458">
        <f>SUM(L394:L395)</f>
        <v>15000000</v>
      </c>
      <c r="M396" s="458">
        <f t="shared" ref="M396:T396" si="396">SUM(M394:M395)</f>
        <v>0</v>
      </c>
      <c r="N396" s="458">
        <f t="shared" si="396"/>
        <v>0</v>
      </c>
      <c r="O396" s="458">
        <f t="shared" si="396"/>
        <v>0</v>
      </c>
      <c r="P396" s="458">
        <f t="shared" si="396"/>
        <v>0</v>
      </c>
      <c r="Q396" s="458">
        <f t="shared" si="396"/>
        <v>0</v>
      </c>
      <c r="R396" s="458">
        <f t="shared" si="396"/>
        <v>0</v>
      </c>
      <c r="S396" s="458">
        <f t="shared" si="396"/>
        <v>0</v>
      </c>
      <c r="T396" s="458">
        <f t="shared" si="396"/>
        <v>15000000</v>
      </c>
      <c r="U396" s="458"/>
      <c r="V396" s="458"/>
      <c r="W396" s="458"/>
      <c r="X396" s="458"/>
      <c r="Y396" s="458"/>
      <c r="Z396" s="458">
        <f t="shared" ref="Z396:AA396" si="397">SUM(Z394:Z395)</f>
        <v>0</v>
      </c>
      <c r="AA396" s="458">
        <f t="shared" si="397"/>
        <v>15000000</v>
      </c>
      <c r="AB396" s="458"/>
      <c r="AC396" s="458"/>
      <c r="AD396" s="458"/>
      <c r="AE396" s="458">
        <f t="shared" ref="AE396:AI396" si="398">SUM(AE394:AE395)</f>
        <v>0</v>
      </c>
      <c r="AF396" s="458"/>
      <c r="AG396" s="458">
        <f t="shared" si="398"/>
        <v>0</v>
      </c>
      <c r="AH396" s="458">
        <f t="shared" si="398"/>
        <v>15000000</v>
      </c>
      <c r="AI396" s="458">
        <f t="shared" si="398"/>
        <v>11000000</v>
      </c>
      <c r="AJ396" s="770">
        <f>AI396/AH396*100</f>
        <v>73.333333333333329</v>
      </c>
    </row>
    <row r="397" spans="1:36" ht="14">
      <c r="A397" s="160"/>
      <c r="B397" s="160"/>
      <c r="C397" s="161"/>
      <c r="D397" s="161"/>
      <c r="E397" s="161"/>
      <c r="F397" s="41"/>
      <c r="G397" s="41"/>
      <c r="H397" s="66"/>
      <c r="I397" s="41"/>
      <c r="J397" s="205"/>
      <c r="K397" s="467"/>
      <c r="L397" s="205"/>
      <c r="M397" s="205"/>
      <c r="N397" s="205"/>
      <c r="O397" s="205"/>
      <c r="P397" s="205"/>
      <c r="Q397" s="205"/>
      <c r="R397" s="205"/>
      <c r="S397" s="205"/>
      <c r="T397" s="205"/>
      <c r="U397" s="205"/>
      <c r="V397" s="205"/>
      <c r="W397" s="205"/>
      <c r="X397" s="205"/>
      <c r="Y397" s="205"/>
      <c r="Z397" s="205"/>
      <c r="AA397" s="205"/>
      <c r="AB397" s="205"/>
      <c r="AC397" s="205"/>
      <c r="AD397" s="205"/>
      <c r="AE397" s="205"/>
      <c r="AF397" s="205"/>
      <c r="AG397" s="205"/>
      <c r="AH397" s="205"/>
      <c r="AI397" s="205"/>
      <c r="AJ397" s="747"/>
    </row>
    <row r="398" spans="1:36" ht="30" customHeight="1">
      <c r="A398" s="40"/>
      <c r="B398" s="40">
        <v>2</v>
      </c>
      <c r="C398" s="124"/>
      <c r="D398" s="124"/>
      <c r="E398" s="124"/>
      <c r="F398" s="41"/>
      <c r="G398" s="935" t="s">
        <v>612</v>
      </c>
      <c r="H398" s="935"/>
      <c r="I398" s="936"/>
      <c r="J398" s="452"/>
      <c r="K398" s="453"/>
      <c r="L398" s="217"/>
      <c r="M398" s="217"/>
      <c r="N398" s="217"/>
      <c r="O398" s="217"/>
      <c r="P398" s="217"/>
      <c r="Q398" s="217"/>
      <c r="R398" s="217"/>
      <c r="S398" s="217"/>
      <c r="T398" s="217"/>
      <c r="U398" s="217"/>
      <c r="V398" s="217"/>
      <c r="W398" s="217"/>
      <c r="X398" s="217"/>
      <c r="Y398" s="217"/>
      <c r="Z398" s="217"/>
      <c r="AA398" s="217"/>
      <c r="AB398" s="217"/>
      <c r="AC398" s="217"/>
      <c r="AD398" s="217"/>
      <c r="AE398" s="217"/>
      <c r="AF398" s="217"/>
      <c r="AG398" s="217"/>
      <c r="AH398" s="217"/>
      <c r="AI398" s="217"/>
      <c r="AJ398" s="764"/>
    </row>
    <row r="399" spans="1:36" ht="14">
      <c r="A399" s="40"/>
      <c r="B399" s="40"/>
      <c r="C399" s="124">
        <v>1</v>
      </c>
      <c r="D399" s="124"/>
      <c r="E399" s="124"/>
      <c r="F399" s="41"/>
      <c r="G399" s="41"/>
      <c r="H399" s="66" t="s">
        <v>35</v>
      </c>
      <c r="I399" s="125"/>
      <c r="J399" s="452"/>
      <c r="K399" s="453"/>
      <c r="L399" s="454"/>
      <c r="M399" s="454"/>
      <c r="N399" s="454"/>
      <c r="O399" s="454"/>
      <c r="P399" s="454"/>
      <c r="Q399" s="454"/>
      <c r="R399" s="454"/>
      <c r="S399" s="454"/>
      <c r="T399" s="454"/>
      <c r="U399" s="454"/>
      <c r="V399" s="454"/>
      <c r="W399" s="454"/>
      <c r="X399" s="454"/>
      <c r="Y399" s="454"/>
      <c r="Z399" s="454"/>
      <c r="AA399" s="454"/>
      <c r="AB399" s="454"/>
      <c r="AC399" s="454"/>
      <c r="AD399" s="454"/>
      <c r="AE399" s="454"/>
      <c r="AF399" s="454"/>
      <c r="AG399" s="454"/>
      <c r="AH399" s="454"/>
      <c r="AI399" s="454"/>
      <c r="AJ399" s="769"/>
    </row>
    <row r="400" spans="1:36" ht="14">
      <c r="A400" s="40"/>
      <c r="B400" s="40"/>
      <c r="C400" s="124"/>
      <c r="D400" s="124">
        <v>5</v>
      </c>
      <c r="E400" s="124" t="s">
        <v>199</v>
      </c>
      <c r="F400" s="451"/>
      <c r="G400" s="41"/>
      <c r="H400" s="66"/>
      <c r="I400" s="66" t="s">
        <v>185</v>
      </c>
      <c r="J400" s="452">
        <v>15000000</v>
      </c>
      <c r="K400" s="453"/>
      <c r="L400" s="217"/>
      <c r="M400" s="217"/>
      <c r="N400" s="217"/>
      <c r="O400" s="217">
        <v>10000000</v>
      </c>
      <c r="P400" s="217"/>
      <c r="Q400" s="217"/>
      <c r="R400" s="217"/>
      <c r="S400" s="217">
        <f t="shared" ref="S400" si="399">SUM(M400:R400)</f>
        <v>10000000</v>
      </c>
      <c r="T400" s="217">
        <f t="shared" ref="T400" si="400">S400+L400</f>
        <v>10000000</v>
      </c>
      <c r="U400" s="217"/>
      <c r="V400" s="217"/>
      <c r="W400" s="217"/>
      <c r="X400" s="217"/>
      <c r="Y400" s="217"/>
      <c r="Z400" s="217">
        <f>SUM(U400:Y400)</f>
        <v>0</v>
      </c>
      <c r="AA400" s="217">
        <f>Z400+T400</f>
        <v>10000000</v>
      </c>
      <c r="AB400" s="217"/>
      <c r="AC400" s="217"/>
      <c r="AD400" s="217"/>
      <c r="AE400" s="217"/>
      <c r="AF400" s="217"/>
      <c r="AG400" s="217">
        <f t="shared" ref="AG400" si="401">SUM(AB400:AF400)</f>
        <v>0</v>
      </c>
      <c r="AH400" s="217">
        <f t="shared" ref="AH400" si="402">AG400+AA400</f>
        <v>10000000</v>
      </c>
      <c r="AI400" s="217">
        <v>5000000</v>
      </c>
      <c r="AJ400" s="764">
        <f>AI400/AH400*100</f>
        <v>50</v>
      </c>
    </row>
    <row r="401" spans="1:36" ht="14">
      <c r="A401" s="40"/>
      <c r="B401" s="40"/>
      <c r="C401" s="124"/>
      <c r="D401" s="124"/>
      <c r="E401" s="124"/>
      <c r="F401" s="41"/>
      <c r="G401" s="41"/>
      <c r="H401" s="66"/>
      <c r="I401" s="66"/>
      <c r="J401" s="452"/>
      <c r="K401" s="453"/>
      <c r="L401" s="217"/>
      <c r="M401" s="217"/>
      <c r="N401" s="217"/>
      <c r="O401" s="217"/>
      <c r="P401" s="217"/>
      <c r="Q401" s="217"/>
      <c r="R401" s="217"/>
      <c r="S401" s="217"/>
      <c r="T401" s="217"/>
      <c r="U401" s="217"/>
      <c r="V401" s="217"/>
      <c r="W401" s="217"/>
      <c r="X401" s="217"/>
      <c r="Y401" s="217"/>
      <c r="Z401" s="217"/>
      <c r="AA401" s="217"/>
      <c r="AB401" s="217"/>
      <c r="AC401" s="217"/>
      <c r="AD401" s="217"/>
      <c r="AE401" s="217"/>
      <c r="AF401" s="217"/>
      <c r="AG401" s="217"/>
      <c r="AH401" s="217"/>
      <c r="AI401" s="217"/>
      <c r="AJ401" s="764"/>
    </row>
    <row r="402" spans="1:36" ht="14">
      <c r="A402" s="40"/>
      <c r="B402" s="40"/>
      <c r="C402" s="124"/>
      <c r="D402" s="124"/>
      <c r="E402" s="124"/>
      <c r="F402" s="173"/>
      <c r="G402" s="64"/>
      <c r="H402" s="65"/>
      <c r="I402" s="64" t="s">
        <v>38</v>
      </c>
      <c r="J402" s="333">
        <f>SUM(J400:J401)</f>
        <v>15000000</v>
      </c>
      <c r="K402" s="457"/>
      <c r="L402" s="458">
        <f>SUM(L400:L401)</f>
        <v>0</v>
      </c>
      <c r="M402" s="458">
        <f t="shared" ref="M402:T402" si="403">SUM(M400:M401)</f>
        <v>0</v>
      </c>
      <c r="N402" s="458">
        <f t="shared" si="403"/>
        <v>0</v>
      </c>
      <c r="O402" s="458">
        <f t="shared" si="403"/>
        <v>10000000</v>
      </c>
      <c r="P402" s="458">
        <f t="shared" si="403"/>
        <v>0</v>
      </c>
      <c r="Q402" s="458">
        <f t="shared" si="403"/>
        <v>0</v>
      </c>
      <c r="R402" s="458">
        <f t="shared" si="403"/>
        <v>0</v>
      </c>
      <c r="S402" s="458">
        <f t="shared" si="403"/>
        <v>10000000</v>
      </c>
      <c r="T402" s="458">
        <f t="shared" si="403"/>
        <v>10000000</v>
      </c>
      <c r="U402" s="458"/>
      <c r="V402" s="458"/>
      <c r="W402" s="458"/>
      <c r="X402" s="458"/>
      <c r="Y402" s="458"/>
      <c r="Z402" s="458">
        <f t="shared" ref="Z402:AA402" si="404">SUM(Z400:Z401)</f>
        <v>0</v>
      </c>
      <c r="AA402" s="458">
        <f t="shared" si="404"/>
        <v>10000000</v>
      </c>
      <c r="AB402" s="458"/>
      <c r="AC402" s="458"/>
      <c r="AD402" s="458"/>
      <c r="AE402" s="458"/>
      <c r="AF402" s="458"/>
      <c r="AG402" s="458">
        <f t="shared" ref="AG402:AH402" si="405">SUM(AG400:AG401)</f>
        <v>0</v>
      </c>
      <c r="AH402" s="458">
        <f t="shared" si="405"/>
        <v>10000000</v>
      </c>
      <c r="AI402" s="458">
        <f t="shared" ref="AI402" si="406">SUM(AI400:AI401)</f>
        <v>5000000</v>
      </c>
      <c r="AJ402" s="770">
        <f>AI402/AH402*100</f>
        <v>50</v>
      </c>
    </row>
    <row r="403" spans="1:36" ht="4" customHeight="1">
      <c r="A403" s="40"/>
      <c r="B403" s="40"/>
      <c r="C403" s="124"/>
      <c r="D403" s="124"/>
      <c r="E403" s="124"/>
      <c r="F403" s="41"/>
      <c r="G403" s="41"/>
      <c r="H403" s="66"/>
      <c r="I403" s="66"/>
      <c r="J403" s="452"/>
      <c r="K403" s="453"/>
      <c r="L403" s="454"/>
      <c r="M403" s="454"/>
      <c r="N403" s="454"/>
      <c r="O403" s="454"/>
      <c r="P403" s="454"/>
      <c r="Q403" s="454"/>
      <c r="R403" s="454"/>
      <c r="S403" s="454"/>
      <c r="T403" s="454"/>
      <c r="U403" s="454"/>
      <c r="V403" s="454"/>
      <c r="W403" s="454"/>
      <c r="X403" s="454"/>
      <c r="Y403" s="454"/>
      <c r="Z403" s="454"/>
      <c r="AA403" s="454"/>
      <c r="AB403" s="454"/>
      <c r="AC403" s="454"/>
      <c r="AD403" s="454"/>
      <c r="AE403" s="454"/>
      <c r="AF403" s="454"/>
      <c r="AG403" s="454"/>
      <c r="AH403" s="454"/>
      <c r="AI403" s="454"/>
      <c r="AJ403" s="769"/>
    </row>
    <row r="404" spans="1:36" ht="14">
      <c r="A404" s="40"/>
      <c r="B404" s="40"/>
      <c r="C404" s="124"/>
      <c r="D404" s="124"/>
      <c r="E404" s="124"/>
      <c r="F404" s="166"/>
      <c r="G404" s="166"/>
      <c r="H404" s="464"/>
      <c r="I404" s="166" t="s">
        <v>37</v>
      </c>
      <c r="J404" s="460">
        <f>J396</f>
        <v>15000000</v>
      </c>
      <c r="K404" s="461">
        <f>K396</f>
        <v>0</v>
      </c>
      <c r="L404" s="460">
        <f>L396</f>
        <v>15000000</v>
      </c>
      <c r="M404" s="460">
        <f>M396+M402</f>
        <v>0</v>
      </c>
      <c r="N404" s="460">
        <f t="shared" ref="N404:T404" si="407">N396+N402</f>
        <v>0</v>
      </c>
      <c r="O404" s="460">
        <f t="shared" si="407"/>
        <v>10000000</v>
      </c>
      <c r="P404" s="460">
        <f t="shared" si="407"/>
        <v>0</v>
      </c>
      <c r="Q404" s="460">
        <f t="shared" si="407"/>
        <v>0</v>
      </c>
      <c r="R404" s="460">
        <f t="shared" si="407"/>
        <v>0</v>
      </c>
      <c r="S404" s="460">
        <f t="shared" si="407"/>
        <v>10000000</v>
      </c>
      <c r="T404" s="460">
        <f t="shared" si="407"/>
        <v>25000000</v>
      </c>
      <c r="U404" s="460"/>
      <c r="V404" s="460"/>
      <c r="W404" s="460"/>
      <c r="X404" s="460"/>
      <c r="Y404" s="460"/>
      <c r="Z404" s="460">
        <f t="shared" ref="Z404:AA404" si="408">Z396+Z402</f>
        <v>0</v>
      </c>
      <c r="AA404" s="460">
        <f t="shared" si="408"/>
        <v>25000000</v>
      </c>
      <c r="AB404" s="460"/>
      <c r="AC404" s="460"/>
      <c r="AD404" s="460"/>
      <c r="AE404" s="460"/>
      <c r="AF404" s="460"/>
      <c r="AG404" s="460">
        <f t="shared" ref="AG404:AH404" si="409">AG396+AG402</f>
        <v>0</v>
      </c>
      <c r="AH404" s="460">
        <f t="shared" si="409"/>
        <v>25000000</v>
      </c>
      <c r="AI404" s="460">
        <f t="shared" ref="AI404" si="410">AI396+AI402</f>
        <v>16000000</v>
      </c>
      <c r="AJ404" s="771">
        <f>AI404/AH404*100</f>
        <v>64</v>
      </c>
    </row>
    <row r="405" spans="1:36" ht="6" customHeight="1">
      <c r="A405" s="468"/>
      <c r="B405" s="468"/>
      <c r="C405" s="469"/>
      <c r="D405" s="469"/>
      <c r="E405" s="469"/>
      <c r="F405" s="41"/>
      <c r="G405" s="41"/>
      <c r="H405" s="66"/>
      <c r="I405" s="41"/>
      <c r="J405" s="126"/>
      <c r="K405" s="204"/>
      <c r="L405" s="205"/>
      <c r="M405" s="205"/>
      <c r="N405" s="205"/>
      <c r="O405" s="205"/>
      <c r="P405" s="205"/>
      <c r="Q405" s="205"/>
      <c r="R405" s="205"/>
      <c r="S405" s="205"/>
      <c r="T405" s="205"/>
      <c r="U405" s="205"/>
      <c r="V405" s="205"/>
      <c r="W405" s="205"/>
      <c r="X405" s="205"/>
      <c r="Y405" s="205"/>
      <c r="Z405" s="205"/>
      <c r="AA405" s="205"/>
      <c r="AB405" s="205"/>
      <c r="AC405" s="205"/>
      <c r="AD405" s="205"/>
      <c r="AE405" s="205"/>
      <c r="AF405" s="205"/>
      <c r="AG405" s="205"/>
      <c r="AH405" s="205"/>
      <c r="AI405" s="205"/>
      <c r="AJ405" s="747"/>
    </row>
    <row r="406" spans="1:36" ht="18.75" customHeight="1">
      <c r="A406" s="470"/>
      <c r="B406" s="471"/>
      <c r="C406" s="472"/>
      <c r="D406" s="472"/>
      <c r="E406" s="472"/>
      <c r="F406" s="949" t="s">
        <v>130</v>
      </c>
      <c r="G406" s="949"/>
      <c r="H406" s="949"/>
      <c r="I406" s="950"/>
      <c r="J406" s="473">
        <f>J389+J374+J353+J287+J258+J251+J212+J203+J404</f>
        <v>911062000</v>
      </c>
      <c r="K406" s="474"/>
      <c r="L406" s="473">
        <f>L389+L374+L353+L287+L258+L251+L212+L203+L404</f>
        <v>911062000</v>
      </c>
      <c r="M406" s="473">
        <f t="shared" ref="M406:S406" si="411">M389+M374+M353+M287+M258+M251+M212+M203+M404</f>
        <v>172467819</v>
      </c>
      <c r="N406" s="473">
        <f t="shared" si="411"/>
        <v>0</v>
      </c>
      <c r="O406" s="473">
        <f t="shared" si="411"/>
        <v>0</v>
      </c>
      <c r="P406" s="473">
        <f t="shared" si="411"/>
        <v>0</v>
      </c>
      <c r="Q406" s="473">
        <f t="shared" si="411"/>
        <v>500000</v>
      </c>
      <c r="R406" s="473">
        <f t="shared" si="411"/>
        <v>0</v>
      </c>
      <c r="S406" s="473">
        <f t="shared" si="411"/>
        <v>172967819</v>
      </c>
      <c r="T406" s="473">
        <f>T389+T374+T353+T287+T258+T251+T212+T203+T404</f>
        <v>1084029819</v>
      </c>
      <c r="U406" s="473"/>
      <c r="V406" s="473"/>
      <c r="W406" s="473"/>
      <c r="X406" s="473">
        <f t="shared" ref="X406:Z406" si="412">X389+X374+X353+X287+X258+X251+X212+X203+X404</f>
        <v>-372491</v>
      </c>
      <c r="Y406" s="473"/>
      <c r="Z406" s="473">
        <f t="shared" si="412"/>
        <v>-372491</v>
      </c>
      <c r="AA406" s="473">
        <f>AA389+AA374+AA353+AA287+AA258+AA251+AA212+AA203+AA404</f>
        <v>1083657328</v>
      </c>
      <c r="AB406" s="473"/>
      <c r="AC406" s="473">
        <f>AC389+AC374+AC353+AC287+AC258+AC251+AC212+AC203+AC404</f>
        <v>1178817</v>
      </c>
      <c r="AD406" s="473"/>
      <c r="AE406" s="473">
        <f t="shared" ref="AE406" si="413">AE389+AE374+AE353+AE287+AE258+AE251+AE212+AE203+AE404</f>
        <v>-10672580</v>
      </c>
      <c r="AF406" s="473"/>
      <c r="AG406" s="473">
        <f t="shared" ref="AG406" si="414">AG389+AG374+AG353+AG287+AG258+AG251+AG212+AG203+AG404</f>
        <v>-9493763</v>
      </c>
      <c r="AH406" s="473">
        <f>AH389+AH374+AH353+AH287+AH258+AH251+AH212+AH203+AH404</f>
        <v>1074163565</v>
      </c>
      <c r="AI406" s="473">
        <f>AI389+AI374+AI353+AI287+AI258+AI251+AI212+AI203+AI404</f>
        <v>878654077</v>
      </c>
      <c r="AJ406" s="772">
        <f>AI406/AH406*100</f>
        <v>81.798908995763597</v>
      </c>
    </row>
    <row r="407" spans="1:36" ht="15.5">
      <c r="A407" s="475"/>
      <c r="B407" s="475"/>
      <c r="C407" s="476"/>
      <c r="D407" s="476"/>
      <c r="E407" s="476"/>
      <c r="F407" s="477"/>
      <c r="G407" s="477"/>
      <c r="H407" s="477"/>
      <c r="I407" s="477"/>
      <c r="J407" s="478"/>
      <c r="K407" s="479"/>
      <c r="L407" s="480"/>
      <c r="M407" s="480"/>
      <c r="N407" s="480"/>
      <c r="O407" s="480"/>
      <c r="P407" s="480"/>
      <c r="Q407" s="480"/>
      <c r="R407" s="480"/>
      <c r="S407" s="480"/>
      <c r="T407" s="480"/>
      <c r="U407" s="480"/>
      <c r="V407" s="480"/>
      <c r="W407" s="480"/>
      <c r="X407" s="480"/>
      <c r="Y407" s="480"/>
      <c r="Z407" s="480"/>
      <c r="AA407" s="480"/>
      <c r="AB407" s="480"/>
      <c r="AC407" s="480"/>
      <c r="AD407" s="480"/>
      <c r="AE407" s="480"/>
      <c r="AF407" s="480"/>
      <c r="AG407" s="480"/>
      <c r="AH407" s="480"/>
      <c r="AI407" s="480"/>
      <c r="AJ407" s="773"/>
    </row>
    <row r="408" spans="1:36" ht="14">
      <c r="A408" s="40">
        <v>10</v>
      </c>
      <c r="B408" s="40"/>
      <c r="C408" s="124"/>
      <c r="D408" s="124"/>
      <c r="E408" s="124"/>
      <c r="F408" s="451" t="s">
        <v>58</v>
      </c>
      <c r="G408" s="41"/>
      <c r="H408" s="66"/>
      <c r="I408" s="66"/>
      <c r="J408" s="452"/>
      <c r="K408" s="453"/>
      <c r="L408" s="454"/>
      <c r="M408" s="454"/>
      <c r="N408" s="454"/>
      <c r="O408" s="454"/>
      <c r="P408" s="454"/>
      <c r="Q408" s="454"/>
      <c r="R408" s="454"/>
      <c r="S408" s="454"/>
      <c r="T408" s="454"/>
      <c r="U408" s="454"/>
      <c r="V408" s="454"/>
      <c r="W408" s="454"/>
      <c r="X408" s="454"/>
      <c r="Y408" s="454"/>
      <c r="Z408" s="454"/>
      <c r="AA408" s="454"/>
      <c r="AB408" s="454"/>
      <c r="AC408" s="454"/>
      <c r="AD408" s="454"/>
      <c r="AE408" s="454"/>
      <c r="AF408" s="454"/>
      <c r="AG408" s="454"/>
      <c r="AH408" s="454"/>
      <c r="AI408" s="454"/>
      <c r="AJ408" s="769"/>
    </row>
    <row r="409" spans="1:36" ht="14">
      <c r="A409" s="40"/>
      <c r="B409" s="40">
        <v>1</v>
      </c>
      <c r="C409" s="124"/>
      <c r="D409" s="124"/>
      <c r="E409" s="124"/>
      <c r="F409" s="451"/>
      <c r="G409" s="41" t="s">
        <v>108</v>
      </c>
      <c r="H409" s="66"/>
      <c r="I409" s="66"/>
      <c r="J409" s="452"/>
      <c r="K409" s="453"/>
      <c r="L409" s="217"/>
      <c r="M409" s="217"/>
      <c r="N409" s="217"/>
      <c r="O409" s="217"/>
      <c r="P409" s="217"/>
      <c r="Q409" s="217"/>
      <c r="R409" s="217"/>
      <c r="S409" s="217"/>
      <c r="T409" s="217"/>
      <c r="U409" s="217"/>
      <c r="V409" s="217"/>
      <c r="W409" s="217"/>
      <c r="X409" s="217"/>
      <c r="Y409" s="217"/>
      <c r="Z409" s="217"/>
      <c r="AA409" s="217"/>
      <c r="AB409" s="217"/>
      <c r="AC409" s="217"/>
      <c r="AD409" s="217"/>
      <c r="AE409" s="217"/>
      <c r="AF409" s="217"/>
      <c r="AG409" s="217"/>
      <c r="AH409" s="217"/>
      <c r="AI409" s="217"/>
      <c r="AJ409" s="764"/>
    </row>
    <row r="410" spans="1:36" ht="14">
      <c r="A410" s="40"/>
      <c r="B410" s="40"/>
      <c r="C410" s="124">
        <v>1</v>
      </c>
      <c r="D410" s="124"/>
      <c r="E410" s="124"/>
      <c r="F410" s="451"/>
      <c r="G410" s="41"/>
      <c r="H410" s="66" t="s">
        <v>35</v>
      </c>
      <c r="I410" s="66"/>
      <c r="J410" s="452"/>
      <c r="K410" s="453"/>
      <c r="L410" s="217"/>
      <c r="M410" s="217"/>
      <c r="N410" s="217"/>
      <c r="O410" s="217"/>
      <c r="P410" s="217"/>
      <c r="Q410" s="217"/>
      <c r="R410" s="217"/>
      <c r="S410" s="217"/>
      <c r="T410" s="217"/>
      <c r="U410" s="217"/>
      <c r="V410" s="217"/>
      <c r="W410" s="217"/>
      <c r="X410" s="217"/>
      <c r="Y410" s="217"/>
      <c r="Z410" s="217"/>
      <c r="AA410" s="217"/>
      <c r="AB410" s="217"/>
      <c r="AC410" s="217"/>
      <c r="AD410" s="217"/>
      <c r="AE410" s="217"/>
      <c r="AF410" s="217"/>
      <c r="AG410" s="217"/>
      <c r="AH410" s="217"/>
      <c r="AI410" s="217"/>
      <c r="AJ410" s="764"/>
    </row>
    <row r="411" spans="1:36" ht="14">
      <c r="A411" s="40"/>
      <c r="B411" s="40"/>
      <c r="C411" s="124"/>
      <c r="D411" s="411">
        <v>3</v>
      </c>
      <c r="E411" s="124" t="s">
        <v>199</v>
      </c>
      <c r="F411" s="412"/>
      <c r="G411" s="36"/>
      <c r="H411" s="162"/>
      <c r="I411" s="162" t="s">
        <v>116</v>
      </c>
      <c r="J411" s="128">
        <v>15000000</v>
      </c>
      <c r="K411" s="208"/>
      <c r="L411" s="217">
        <f>SUM(J411:K411)</f>
        <v>15000000</v>
      </c>
      <c r="M411" s="217"/>
      <c r="N411" s="217"/>
      <c r="O411" s="217"/>
      <c r="P411" s="217"/>
      <c r="Q411" s="217"/>
      <c r="R411" s="217"/>
      <c r="S411" s="217">
        <f t="shared" ref="S411" si="415">SUM(M411:R411)</f>
        <v>0</v>
      </c>
      <c r="T411" s="217">
        <f t="shared" ref="T411" si="416">S411+L411</f>
        <v>15000000</v>
      </c>
      <c r="U411" s="217"/>
      <c r="V411" s="217"/>
      <c r="W411" s="217"/>
      <c r="X411" s="217"/>
      <c r="Y411" s="217"/>
      <c r="Z411" s="217">
        <f>SUM(U411:Y411)</f>
        <v>0</v>
      </c>
      <c r="AA411" s="217">
        <f>Z411+T411</f>
        <v>15000000</v>
      </c>
      <c r="AB411" s="217"/>
      <c r="AC411" s="217"/>
      <c r="AD411" s="217">
        <v>-277338</v>
      </c>
      <c r="AE411" s="217"/>
      <c r="AF411" s="217"/>
      <c r="AG411" s="217">
        <f t="shared" ref="AG411" si="417">SUM(AB411:AF411)</f>
        <v>-277338</v>
      </c>
      <c r="AH411" s="217">
        <f t="shared" ref="AH411" si="418">AG411+AA411</f>
        <v>14722662</v>
      </c>
      <c r="AI411" s="217">
        <v>9999104</v>
      </c>
      <c r="AJ411" s="764">
        <f>AI411/AH411*100</f>
        <v>67.916413485550379</v>
      </c>
    </row>
    <row r="412" spans="1:36" ht="14">
      <c r="A412" s="40"/>
      <c r="B412" s="40"/>
      <c r="C412" s="124"/>
      <c r="D412" s="411"/>
      <c r="E412" s="411"/>
      <c r="F412" s="412"/>
      <c r="G412" s="36"/>
      <c r="H412" s="162"/>
      <c r="I412" s="162"/>
      <c r="J412" s="128"/>
      <c r="K412" s="208"/>
      <c r="L412" s="217"/>
      <c r="M412" s="217"/>
      <c r="N412" s="217"/>
      <c r="O412" s="217"/>
      <c r="P412" s="217"/>
      <c r="Q412" s="217"/>
      <c r="R412" s="217"/>
      <c r="S412" s="217"/>
      <c r="T412" s="217"/>
      <c r="U412" s="217"/>
      <c r="V412" s="217"/>
      <c r="W412" s="217"/>
      <c r="X412" s="217"/>
      <c r="Y412" s="217"/>
      <c r="Z412" s="217"/>
      <c r="AA412" s="217"/>
      <c r="AB412" s="217"/>
      <c r="AC412" s="217"/>
      <c r="AD412" s="217"/>
      <c r="AE412" s="217"/>
      <c r="AF412" s="217"/>
      <c r="AG412" s="217"/>
      <c r="AH412" s="217"/>
      <c r="AI412" s="217"/>
      <c r="AJ412" s="764"/>
    </row>
    <row r="413" spans="1:36" ht="14">
      <c r="A413" s="40"/>
      <c r="B413" s="40"/>
      <c r="C413" s="124"/>
      <c r="D413" s="124"/>
      <c r="E413" s="124"/>
      <c r="F413" s="173"/>
      <c r="G413" s="64"/>
      <c r="H413" s="65"/>
      <c r="I413" s="64" t="s">
        <v>38</v>
      </c>
      <c r="J413" s="333">
        <f>SUM(J411:J412)</f>
        <v>15000000</v>
      </c>
      <c r="K413" s="457"/>
      <c r="L413" s="458">
        <f>SUM(L411:L412)</f>
        <v>15000000</v>
      </c>
      <c r="M413" s="458">
        <f t="shared" ref="M413:T413" si="419">SUM(M411:M412)</f>
        <v>0</v>
      </c>
      <c r="N413" s="458">
        <f t="shared" si="419"/>
        <v>0</v>
      </c>
      <c r="O413" s="458">
        <f t="shared" si="419"/>
        <v>0</v>
      </c>
      <c r="P413" s="458">
        <f t="shared" si="419"/>
        <v>0</v>
      </c>
      <c r="Q413" s="458">
        <f t="shared" si="419"/>
        <v>0</v>
      </c>
      <c r="R413" s="458">
        <f t="shared" si="419"/>
        <v>0</v>
      </c>
      <c r="S413" s="458">
        <f t="shared" si="419"/>
        <v>0</v>
      </c>
      <c r="T413" s="458">
        <f t="shared" si="419"/>
        <v>15000000</v>
      </c>
      <c r="U413" s="458"/>
      <c r="V413" s="458"/>
      <c r="W413" s="458"/>
      <c r="X413" s="458"/>
      <c r="Y413" s="458"/>
      <c r="Z413" s="458">
        <f t="shared" ref="Z413:AA413" si="420">SUM(Z411:Z412)</f>
        <v>0</v>
      </c>
      <c r="AA413" s="458">
        <f t="shared" si="420"/>
        <v>15000000</v>
      </c>
      <c r="AB413" s="458"/>
      <c r="AC413" s="458"/>
      <c r="AD413" s="458">
        <f t="shared" ref="AD413" si="421">SUM(AD411:AD412)</f>
        <v>-277338</v>
      </c>
      <c r="AE413" s="458"/>
      <c r="AF413" s="458"/>
      <c r="AG413" s="458">
        <f t="shared" ref="AG413:AH413" si="422">SUM(AG411:AG412)</f>
        <v>-277338</v>
      </c>
      <c r="AH413" s="458">
        <f t="shared" si="422"/>
        <v>14722662</v>
      </c>
      <c r="AI413" s="458">
        <f t="shared" ref="AI413" si="423">SUM(AI411:AI412)</f>
        <v>9999104</v>
      </c>
      <c r="AJ413" s="770">
        <f>AI413/AH413*100</f>
        <v>67.916413485550379</v>
      </c>
    </row>
    <row r="414" spans="1:36" ht="5.5" customHeight="1">
      <c r="A414" s="40"/>
      <c r="B414" s="40"/>
      <c r="C414" s="124"/>
      <c r="D414" s="124"/>
      <c r="E414" s="124"/>
      <c r="F414" s="451"/>
      <c r="G414" s="41"/>
      <c r="H414" s="66"/>
      <c r="I414" s="66"/>
      <c r="J414" s="452"/>
      <c r="K414" s="453"/>
      <c r="L414" s="454"/>
      <c r="M414" s="454"/>
      <c r="N414" s="454"/>
      <c r="O414" s="454"/>
      <c r="P414" s="454"/>
      <c r="Q414" s="454"/>
      <c r="R414" s="454"/>
      <c r="S414" s="454"/>
      <c r="T414" s="454"/>
      <c r="U414" s="454"/>
      <c r="V414" s="454"/>
      <c r="W414" s="454"/>
      <c r="X414" s="454"/>
      <c r="Y414" s="454"/>
      <c r="Z414" s="454"/>
      <c r="AA414" s="454"/>
      <c r="AB414" s="454"/>
      <c r="AC414" s="454"/>
      <c r="AD414" s="454"/>
      <c r="AE414" s="454"/>
      <c r="AF414" s="454"/>
      <c r="AG414" s="454"/>
      <c r="AH414" s="454"/>
      <c r="AI414" s="454"/>
      <c r="AJ414" s="769"/>
    </row>
    <row r="415" spans="1:36" ht="14">
      <c r="A415" s="40"/>
      <c r="B415" s="40"/>
      <c r="C415" s="124"/>
      <c r="D415" s="124"/>
      <c r="E415" s="124"/>
      <c r="F415" s="166"/>
      <c r="G415" s="166"/>
      <c r="H415" s="464"/>
      <c r="I415" s="166" t="s">
        <v>37</v>
      </c>
      <c r="J415" s="460">
        <f>SUM(J409:J413)/2</f>
        <v>15000000</v>
      </c>
      <c r="K415" s="461"/>
      <c r="L415" s="460">
        <f>SUM(L409:L413)/2</f>
        <v>15000000</v>
      </c>
      <c r="M415" s="460">
        <f t="shared" ref="M415:T415" si="424">SUM(M409:M413)/2</f>
        <v>0</v>
      </c>
      <c r="N415" s="460">
        <f t="shared" si="424"/>
        <v>0</v>
      </c>
      <c r="O415" s="460">
        <f t="shared" si="424"/>
        <v>0</v>
      </c>
      <c r="P415" s="460">
        <f t="shared" si="424"/>
        <v>0</v>
      </c>
      <c r="Q415" s="460">
        <f t="shared" si="424"/>
        <v>0</v>
      </c>
      <c r="R415" s="460">
        <f t="shared" si="424"/>
        <v>0</v>
      </c>
      <c r="S415" s="460">
        <f t="shared" si="424"/>
        <v>0</v>
      </c>
      <c r="T415" s="460">
        <f t="shared" si="424"/>
        <v>15000000</v>
      </c>
      <c r="U415" s="460"/>
      <c r="V415" s="460"/>
      <c r="W415" s="460"/>
      <c r="X415" s="460"/>
      <c r="Y415" s="460"/>
      <c r="Z415" s="460">
        <f t="shared" ref="Z415:AA415" si="425">SUM(Z409:Z413)/2</f>
        <v>0</v>
      </c>
      <c r="AA415" s="460">
        <f t="shared" si="425"/>
        <v>15000000</v>
      </c>
      <c r="AB415" s="460"/>
      <c r="AC415" s="460"/>
      <c r="AD415" s="460">
        <f t="shared" ref="AD415" si="426">SUM(AD409:AD413)/2</f>
        <v>-277338</v>
      </c>
      <c r="AE415" s="460"/>
      <c r="AF415" s="460"/>
      <c r="AG415" s="460">
        <f t="shared" ref="AG415:AH415" si="427">SUM(AG409:AG413)/2</f>
        <v>-277338</v>
      </c>
      <c r="AH415" s="460">
        <f t="shared" si="427"/>
        <v>14722662</v>
      </c>
      <c r="AI415" s="460">
        <f t="shared" ref="AI415" si="428">SUM(AI409:AI413)/2</f>
        <v>9999104</v>
      </c>
      <c r="AJ415" s="771">
        <f>AI415/AH415*100</f>
        <v>67.916413485550379</v>
      </c>
    </row>
    <row r="416" spans="1:36" ht="14">
      <c r="A416" s="677"/>
      <c r="B416" s="677"/>
      <c r="C416" s="465"/>
      <c r="D416" s="465"/>
      <c r="E416" s="465"/>
      <c r="F416" s="66"/>
      <c r="G416" s="41"/>
      <c r="H416" s="66"/>
      <c r="I416" s="41"/>
      <c r="J416" s="126"/>
      <c r="K416" s="204"/>
      <c r="L416" s="205"/>
      <c r="M416" s="205"/>
      <c r="N416" s="205"/>
      <c r="O416" s="205"/>
      <c r="P416" s="205"/>
      <c r="Q416" s="205"/>
      <c r="R416" s="205"/>
      <c r="S416" s="205"/>
      <c r="T416" s="205"/>
      <c r="U416" s="205"/>
      <c r="V416" s="205"/>
      <c r="W416" s="205"/>
      <c r="X416" s="205"/>
      <c r="Y416" s="205"/>
      <c r="Z416" s="205"/>
      <c r="AA416" s="205"/>
      <c r="AB416" s="205"/>
      <c r="AC416" s="205"/>
      <c r="AD416" s="205"/>
      <c r="AE416" s="205"/>
      <c r="AF416" s="205"/>
      <c r="AG416" s="205"/>
      <c r="AH416" s="205"/>
      <c r="AI416" s="205"/>
      <c r="AJ416" s="747"/>
    </row>
    <row r="417" spans="1:36" ht="14">
      <c r="A417" s="40">
        <v>11</v>
      </c>
      <c r="B417" s="40"/>
      <c r="C417" s="124"/>
      <c r="D417" s="124"/>
      <c r="F417" s="451" t="s">
        <v>278</v>
      </c>
      <c r="G417" s="41"/>
      <c r="H417" s="66"/>
      <c r="I417" s="66"/>
      <c r="J417" s="452"/>
      <c r="K417" s="453"/>
      <c r="L417" s="454"/>
      <c r="M417" s="454"/>
      <c r="N417" s="454"/>
      <c r="O417" s="454"/>
      <c r="P417" s="454"/>
      <c r="Q417" s="454"/>
      <c r="R417" s="454"/>
      <c r="S417" s="454"/>
      <c r="T417" s="454"/>
      <c r="U417" s="454"/>
      <c r="V417" s="454"/>
      <c r="W417" s="454"/>
      <c r="X417" s="454"/>
      <c r="Y417" s="454"/>
      <c r="Z417" s="454"/>
      <c r="AA417" s="454"/>
      <c r="AB417" s="454"/>
      <c r="AC417" s="454"/>
      <c r="AD417" s="454"/>
      <c r="AE417" s="454"/>
      <c r="AF417" s="454"/>
      <c r="AG417" s="454"/>
      <c r="AH417" s="454"/>
      <c r="AI417" s="454"/>
      <c r="AJ417" s="769"/>
    </row>
    <row r="418" spans="1:36" ht="14">
      <c r="A418" s="40"/>
      <c r="B418" s="40">
        <v>1</v>
      </c>
      <c r="C418" s="124"/>
      <c r="D418" s="124"/>
      <c r="E418" s="124"/>
      <c r="F418" s="451"/>
      <c r="G418" s="41" t="s">
        <v>157</v>
      </c>
      <c r="H418" s="66"/>
      <c r="I418" s="66"/>
      <c r="J418" s="452"/>
      <c r="K418" s="453"/>
      <c r="L418" s="454"/>
      <c r="M418" s="454"/>
      <c r="N418" s="454"/>
      <c r="O418" s="454"/>
      <c r="P418" s="454"/>
      <c r="Q418" s="454"/>
      <c r="R418" s="454"/>
      <c r="S418" s="454"/>
      <c r="T418" s="454"/>
      <c r="U418" s="454"/>
      <c r="V418" s="454"/>
      <c r="W418" s="454"/>
      <c r="X418" s="454"/>
      <c r="Y418" s="454"/>
      <c r="Z418" s="454"/>
      <c r="AA418" s="454"/>
      <c r="AB418" s="454"/>
      <c r="AC418" s="454"/>
      <c r="AD418" s="454"/>
      <c r="AE418" s="454"/>
      <c r="AF418" s="454"/>
      <c r="AG418" s="454"/>
      <c r="AH418" s="454"/>
      <c r="AI418" s="454"/>
      <c r="AJ418" s="769"/>
    </row>
    <row r="419" spans="1:36" ht="14">
      <c r="A419" s="40"/>
      <c r="B419" s="40"/>
      <c r="C419" s="124">
        <v>1</v>
      </c>
      <c r="D419" s="124"/>
      <c r="E419" s="124"/>
      <c r="F419" s="451"/>
      <c r="G419" s="41"/>
      <c r="H419" s="66" t="s">
        <v>35</v>
      </c>
      <c r="I419" s="66"/>
      <c r="J419" s="452"/>
      <c r="K419" s="453"/>
      <c r="L419" s="454"/>
      <c r="M419" s="454"/>
      <c r="N419" s="454"/>
      <c r="O419" s="454"/>
      <c r="P419" s="454"/>
      <c r="Q419" s="454"/>
      <c r="R419" s="454"/>
      <c r="S419" s="454"/>
      <c r="T419" s="454"/>
      <c r="U419" s="454"/>
      <c r="V419" s="454"/>
      <c r="W419" s="454"/>
      <c r="X419" s="454"/>
      <c r="Y419" s="454"/>
      <c r="Z419" s="454"/>
      <c r="AA419" s="454"/>
      <c r="AB419" s="454"/>
      <c r="AC419" s="454"/>
      <c r="AD419" s="454"/>
      <c r="AE419" s="454"/>
      <c r="AF419" s="454"/>
      <c r="AG419" s="454"/>
      <c r="AH419" s="454"/>
      <c r="AI419" s="454"/>
      <c r="AJ419" s="769"/>
    </row>
    <row r="420" spans="1:36" ht="14">
      <c r="A420" s="40"/>
      <c r="B420" s="40"/>
      <c r="C420" s="124"/>
      <c r="D420" s="411">
        <v>1</v>
      </c>
      <c r="E420" s="124" t="s">
        <v>199</v>
      </c>
      <c r="F420" s="412"/>
      <c r="G420" s="36"/>
      <c r="H420" s="162"/>
      <c r="I420" s="162" t="s">
        <v>180</v>
      </c>
      <c r="J420" s="128">
        <v>4000000</v>
      </c>
      <c r="K420" s="204"/>
      <c r="L420" s="217">
        <f>SUM(J420:K420)</f>
        <v>4000000</v>
      </c>
      <c r="M420" s="217">
        <v>3183750</v>
      </c>
      <c r="N420" s="217"/>
      <c r="O420" s="217"/>
      <c r="P420" s="217"/>
      <c r="Q420" s="217">
        <v>-1052630</v>
      </c>
      <c r="R420" s="217"/>
      <c r="S420" s="217">
        <f t="shared" ref="S420:S422" si="429">SUM(M420:R420)</f>
        <v>2131120</v>
      </c>
      <c r="T420" s="217">
        <f t="shared" ref="T420:T422" si="430">S420+L420</f>
        <v>6131120</v>
      </c>
      <c r="U420" s="217"/>
      <c r="V420" s="217"/>
      <c r="W420" s="217"/>
      <c r="X420" s="217">
        <v>-752292</v>
      </c>
      <c r="Y420" s="217"/>
      <c r="Z420" s="217">
        <f>SUM(U420:Y420)</f>
        <v>-752292</v>
      </c>
      <c r="AA420" s="217">
        <f>Z420+T420</f>
        <v>5378828</v>
      </c>
      <c r="AB420" s="217"/>
      <c r="AC420" s="217"/>
      <c r="AD420" s="217"/>
      <c r="AE420" s="217">
        <v>415004</v>
      </c>
      <c r="AF420" s="217"/>
      <c r="AG420" s="217">
        <f t="shared" ref="AG420:AG422" si="431">SUM(AB420:AF420)</f>
        <v>415004</v>
      </c>
      <c r="AH420" s="217">
        <f t="shared" ref="AH420:AH422" si="432">AG420+AA420</f>
        <v>5793832</v>
      </c>
      <c r="AI420" s="217">
        <v>3068296</v>
      </c>
      <c r="AJ420" s="764">
        <f t="shared" ref="AJ420:AJ422" si="433">AI420/AH420*100</f>
        <v>52.957973237746629</v>
      </c>
    </row>
    <row r="421" spans="1:36" ht="14">
      <c r="A421" s="40"/>
      <c r="B421" s="40"/>
      <c r="C421" s="124"/>
      <c r="D421" s="411">
        <v>2</v>
      </c>
      <c r="E421" s="124" t="s">
        <v>199</v>
      </c>
      <c r="F421" s="412"/>
      <c r="G421" s="36"/>
      <c r="H421" s="162"/>
      <c r="I421" s="162" t="s">
        <v>182</v>
      </c>
      <c r="J421" s="128">
        <v>2069068</v>
      </c>
      <c r="K421" s="204"/>
      <c r="L421" s="217">
        <f>SUM(J421:K421)</f>
        <v>2069068</v>
      </c>
      <c r="M421" s="217">
        <v>2750823</v>
      </c>
      <c r="N421" s="217"/>
      <c r="O421" s="217"/>
      <c r="P421" s="217"/>
      <c r="Q421" s="217">
        <v>-433000</v>
      </c>
      <c r="R421" s="217"/>
      <c r="S421" s="217">
        <f t="shared" si="429"/>
        <v>2317823</v>
      </c>
      <c r="T421" s="217">
        <f t="shared" si="430"/>
        <v>4386891</v>
      </c>
      <c r="U421" s="217"/>
      <c r="V421" s="217"/>
      <c r="W421" s="217"/>
      <c r="X421" s="217">
        <v>-542000</v>
      </c>
      <c r="Y421" s="217"/>
      <c r="Z421" s="217">
        <f>SUM(U421:Y421)</f>
        <v>-542000</v>
      </c>
      <c r="AA421" s="217">
        <f>Z421+T421</f>
        <v>3844891</v>
      </c>
      <c r="AB421" s="217"/>
      <c r="AC421" s="217"/>
      <c r="AD421" s="217"/>
      <c r="AE421" s="217">
        <v>170982</v>
      </c>
      <c r="AF421" s="217"/>
      <c r="AG421" s="217">
        <f t="shared" si="431"/>
        <v>170982</v>
      </c>
      <c r="AH421" s="217">
        <f t="shared" si="432"/>
        <v>4015873</v>
      </c>
      <c r="AI421" s="217">
        <v>918184</v>
      </c>
      <c r="AJ421" s="764">
        <f t="shared" si="433"/>
        <v>22.863870446102254</v>
      </c>
    </row>
    <row r="422" spans="1:36" ht="14">
      <c r="A422" s="40"/>
      <c r="B422" s="40"/>
      <c r="C422" s="124"/>
      <c r="D422" s="124">
        <v>3</v>
      </c>
      <c r="E422" s="124" t="s">
        <v>199</v>
      </c>
      <c r="F422" s="451"/>
      <c r="G422" s="41"/>
      <c r="H422" s="66"/>
      <c r="I422" s="66" t="s">
        <v>116</v>
      </c>
      <c r="J422" s="452">
        <v>6930932</v>
      </c>
      <c r="K422" s="453"/>
      <c r="L422" s="217">
        <f>SUM(J422:K422)</f>
        <v>6930932</v>
      </c>
      <c r="M422" s="217">
        <v>5211013</v>
      </c>
      <c r="N422" s="217"/>
      <c r="O422" s="217"/>
      <c r="P422" s="217"/>
      <c r="Q422" s="217">
        <v>-1027740</v>
      </c>
      <c r="R422" s="217"/>
      <c r="S422" s="217">
        <f t="shared" si="429"/>
        <v>4183273</v>
      </c>
      <c r="T422" s="217">
        <f t="shared" si="430"/>
        <v>11114205</v>
      </c>
      <c r="U422" s="217"/>
      <c r="V422" s="217"/>
      <c r="W422" s="217">
        <v>2500000</v>
      </c>
      <c r="X422" s="217">
        <v>1355802</v>
      </c>
      <c r="Y422" s="217"/>
      <c r="Z422" s="217">
        <f>SUM(U422:Y422)</f>
        <v>3855802</v>
      </c>
      <c r="AA422" s="217">
        <f>Z422+T422</f>
        <v>14970007</v>
      </c>
      <c r="AB422" s="217"/>
      <c r="AC422" s="217"/>
      <c r="AD422" s="217"/>
      <c r="AE422" s="217">
        <v>980000</v>
      </c>
      <c r="AF422" s="217"/>
      <c r="AG422" s="217">
        <f t="shared" si="431"/>
        <v>980000</v>
      </c>
      <c r="AH422" s="217">
        <f t="shared" si="432"/>
        <v>15950007</v>
      </c>
      <c r="AI422" s="217">
        <v>14910463</v>
      </c>
      <c r="AJ422" s="764">
        <f t="shared" si="433"/>
        <v>93.482485618971836</v>
      </c>
    </row>
    <row r="423" spans="1:36" ht="14">
      <c r="A423" s="160"/>
      <c r="B423" s="160"/>
      <c r="C423" s="161"/>
      <c r="D423" s="161">
        <v>5</v>
      </c>
      <c r="E423" s="124" t="s">
        <v>199</v>
      </c>
      <c r="F423" s="482"/>
      <c r="G423" s="41"/>
      <c r="H423" s="66"/>
      <c r="I423" s="66" t="s">
        <v>185</v>
      </c>
      <c r="J423" s="454"/>
      <c r="K423" s="483"/>
      <c r="L423" s="217"/>
      <c r="M423" s="217"/>
      <c r="N423" s="217"/>
      <c r="O423" s="217"/>
      <c r="P423" s="217"/>
      <c r="Q423" s="217"/>
      <c r="R423" s="217"/>
      <c r="S423" s="217"/>
      <c r="T423" s="217"/>
      <c r="U423" s="217"/>
      <c r="V423" s="217"/>
      <c r="W423" s="217"/>
      <c r="X423" s="217"/>
      <c r="Y423" s="217"/>
      <c r="Z423" s="217"/>
      <c r="AA423" s="217"/>
      <c r="AB423" s="217"/>
      <c r="AC423" s="217">
        <v>6200000</v>
      </c>
      <c r="AD423" s="217"/>
      <c r="AE423" s="217"/>
      <c r="AF423" s="217"/>
      <c r="AG423" s="217">
        <f t="shared" ref="AG423" si="434">SUM(AB423:AF423)</f>
        <v>6200000</v>
      </c>
      <c r="AH423" s="217">
        <f t="shared" ref="AH423" si="435">AG423+AA423</f>
        <v>6200000</v>
      </c>
      <c r="AI423" s="217"/>
      <c r="AJ423" s="764"/>
    </row>
    <row r="424" spans="1:36" ht="14">
      <c r="A424" s="40"/>
      <c r="B424" s="40"/>
      <c r="C424" s="124"/>
      <c r="D424" s="124"/>
      <c r="E424" s="124"/>
      <c r="F424" s="451"/>
      <c r="G424" s="41"/>
      <c r="H424" s="66"/>
      <c r="I424" s="66"/>
      <c r="J424" s="452"/>
      <c r="K424" s="453"/>
      <c r="L424" s="217"/>
      <c r="M424" s="217"/>
      <c r="N424" s="217"/>
      <c r="O424" s="217"/>
      <c r="P424" s="217"/>
      <c r="Q424" s="217"/>
      <c r="R424" s="217"/>
      <c r="S424" s="217"/>
      <c r="T424" s="217"/>
      <c r="U424" s="217"/>
      <c r="V424" s="217"/>
      <c r="W424" s="217"/>
      <c r="X424" s="217"/>
      <c r="Y424" s="217"/>
      <c r="Z424" s="217"/>
      <c r="AA424" s="217"/>
      <c r="AB424" s="217"/>
      <c r="AC424" s="217"/>
      <c r="AD424" s="217"/>
      <c r="AE424" s="217"/>
      <c r="AF424" s="217"/>
      <c r="AG424" s="217"/>
      <c r="AH424" s="217"/>
      <c r="AI424" s="217"/>
      <c r="AJ424" s="764"/>
    </row>
    <row r="425" spans="1:36" ht="16.5" customHeight="1">
      <c r="A425" s="40"/>
      <c r="B425" s="40"/>
      <c r="C425" s="124"/>
      <c r="D425" s="124"/>
      <c r="E425" s="124"/>
      <c r="F425" s="173"/>
      <c r="G425" s="64"/>
      <c r="H425" s="65"/>
      <c r="I425" s="64" t="s">
        <v>38</v>
      </c>
      <c r="J425" s="333">
        <f>SUM(J420:J424)</f>
        <v>13000000</v>
      </c>
      <c r="K425" s="457"/>
      <c r="L425" s="458">
        <f>SUM(L420:L424)</f>
        <v>13000000</v>
      </c>
      <c r="M425" s="458">
        <f>SUM(M420:M424)</f>
        <v>11145586</v>
      </c>
      <c r="N425" s="458">
        <f t="shared" ref="N425:T425" si="436">SUM(N420:N424)</f>
        <v>0</v>
      </c>
      <c r="O425" s="458">
        <f t="shared" si="436"/>
        <v>0</v>
      </c>
      <c r="P425" s="458">
        <f t="shared" si="436"/>
        <v>0</v>
      </c>
      <c r="Q425" s="458">
        <f t="shared" si="436"/>
        <v>-2513370</v>
      </c>
      <c r="R425" s="458">
        <f t="shared" si="436"/>
        <v>0</v>
      </c>
      <c r="S425" s="458">
        <f t="shared" si="436"/>
        <v>8632216</v>
      </c>
      <c r="T425" s="458">
        <f t="shared" si="436"/>
        <v>21632216</v>
      </c>
      <c r="U425" s="458"/>
      <c r="V425" s="458"/>
      <c r="W425" s="458">
        <f t="shared" ref="W425:X425" si="437">SUM(W420:W424)</f>
        <v>2500000</v>
      </c>
      <c r="X425" s="458">
        <f t="shared" si="437"/>
        <v>61510</v>
      </c>
      <c r="Y425" s="458"/>
      <c r="Z425" s="458">
        <f t="shared" ref="Z425:AA425" si="438">SUM(Z420:Z424)</f>
        <v>2561510</v>
      </c>
      <c r="AA425" s="458">
        <f t="shared" si="438"/>
        <v>24193726</v>
      </c>
      <c r="AB425" s="458"/>
      <c r="AC425" s="458">
        <f t="shared" ref="AC425:AE425" si="439">SUM(AC420:AC424)</f>
        <v>6200000</v>
      </c>
      <c r="AD425" s="458">
        <f t="shared" si="439"/>
        <v>0</v>
      </c>
      <c r="AE425" s="458">
        <f t="shared" si="439"/>
        <v>1565986</v>
      </c>
      <c r="AF425" s="458"/>
      <c r="AG425" s="458">
        <f t="shared" ref="AG425:AI425" si="440">SUM(AG420:AG424)</f>
        <v>7765986</v>
      </c>
      <c r="AH425" s="458">
        <f t="shared" si="440"/>
        <v>31959712</v>
      </c>
      <c r="AI425" s="458">
        <f t="shared" si="440"/>
        <v>18896943</v>
      </c>
      <c r="AJ425" s="770">
        <f>AI425/AH425*100</f>
        <v>59.12738825681533</v>
      </c>
    </row>
    <row r="426" spans="1:36" ht="14">
      <c r="A426" s="40"/>
      <c r="B426" s="40"/>
      <c r="C426" s="124"/>
      <c r="D426" s="124"/>
      <c r="E426" s="124"/>
      <c r="F426" s="451"/>
      <c r="G426" s="41"/>
      <c r="H426" s="66"/>
      <c r="I426" s="66"/>
      <c r="J426" s="452"/>
      <c r="K426" s="453"/>
      <c r="L426" s="217"/>
      <c r="M426" s="217"/>
      <c r="N426" s="217"/>
      <c r="O426" s="217"/>
      <c r="P426" s="217"/>
      <c r="Q426" s="217"/>
      <c r="R426" s="217"/>
      <c r="S426" s="217"/>
      <c r="T426" s="217"/>
      <c r="U426" s="217"/>
      <c r="V426" s="217"/>
      <c r="W426" s="217"/>
      <c r="X426" s="217"/>
      <c r="Y426" s="217"/>
      <c r="Z426" s="217"/>
      <c r="AA426" s="217"/>
      <c r="AB426" s="217"/>
      <c r="AC426" s="217"/>
      <c r="AD426" s="217"/>
      <c r="AE426" s="217"/>
      <c r="AF426" s="217"/>
      <c r="AG426" s="217"/>
      <c r="AH426" s="217"/>
      <c r="AI426" s="217"/>
      <c r="AJ426" s="764"/>
    </row>
    <row r="427" spans="1:36" ht="16.5" customHeight="1">
      <c r="A427" s="40"/>
      <c r="B427" s="40">
        <v>2</v>
      </c>
      <c r="C427" s="124"/>
      <c r="D427" s="124"/>
      <c r="E427" s="124"/>
      <c r="F427" s="451"/>
      <c r="G427" s="41" t="s">
        <v>335</v>
      </c>
      <c r="H427" s="66"/>
      <c r="I427" s="66"/>
      <c r="J427" s="452"/>
      <c r="K427" s="453"/>
      <c r="L427" s="217"/>
      <c r="M427" s="217"/>
      <c r="N427" s="217"/>
      <c r="O427" s="217"/>
      <c r="P427" s="217"/>
      <c r="Q427" s="217"/>
      <c r="R427" s="217"/>
      <c r="S427" s="217"/>
      <c r="T427" s="217"/>
      <c r="U427" s="217"/>
      <c r="V427" s="217"/>
      <c r="W427" s="217"/>
      <c r="X427" s="217"/>
      <c r="Y427" s="217"/>
      <c r="Z427" s="217"/>
      <c r="AA427" s="217"/>
      <c r="AB427" s="217"/>
      <c r="AC427" s="217"/>
      <c r="AD427" s="217"/>
      <c r="AE427" s="217"/>
      <c r="AF427" s="217"/>
      <c r="AG427" s="217"/>
      <c r="AH427" s="217"/>
      <c r="AI427" s="217"/>
      <c r="AJ427" s="764"/>
    </row>
    <row r="428" spans="1:36" ht="16.5" customHeight="1">
      <c r="A428" s="40"/>
      <c r="B428" s="40"/>
      <c r="C428" s="124">
        <v>1</v>
      </c>
      <c r="D428" s="124"/>
      <c r="E428" s="124"/>
      <c r="F428" s="451"/>
      <c r="G428" s="41"/>
      <c r="H428" s="66" t="s">
        <v>35</v>
      </c>
      <c r="I428" s="66"/>
      <c r="J428" s="452"/>
      <c r="K428" s="453"/>
      <c r="L428" s="454"/>
      <c r="M428" s="454"/>
      <c r="N428" s="454"/>
      <c r="O428" s="454"/>
      <c r="P428" s="454"/>
      <c r="Q428" s="454"/>
      <c r="R428" s="454"/>
      <c r="S428" s="454"/>
      <c r="T428" s="454"/>
      <c r="U428" s="454"/>
      <c r="V428" s="454"/>
      <c r="W428" s="454"/>
      <c r="X428" s="454"/>
      <c r="Y428" s="454"/>
      <c r="Z428" s="454"/>
      <c r="AA428" s="454"/>
      <c r="AB428" s="454"/>
      <c r="AC428" s="454"/>
      <c r="AD428" s="454"/>
      <c r="AE428" s="454"/>
      <c r="AF428" s="454"/>
      <c r="AG428" s="454"/>
      <c r="AH428" s="454"/>
      <c r="AI428" s="454"/>
      <c r="AJ428" s="769"/>
    </row>
    <row r="429" spans="1:36" ht="16.5" customHeight="1">
      <c r="A429" s="40"/>
      <c r="B429" s="40"/>
      <c r="C429" s="124"/>
      <c r="D429" s="124">
        <v>3</v>
      </c>
      <c r="E429" s="124" t="s">
        <v>199</v>
      </c>
      <c r="F429" s="451"/>
      <c r="G429" s="41"/>
      <c r="H429" s="66"/>
      <c r="I429" s="66" t="s">
        <v>116</v>
      </c>
      <c r="J429" s="452">
        <v>1000000</v>
      </c>
      <c r="K429" s="453"/>
      <c r="L429" s="217">
        <f>SUM(J429:K429)</f>
        <v>1000000</v>
      </c>
      <c r="M429" s="217"/>
      <c r="N429" s="217"/>
      <c r="O429" s="217"/>
      <c r="P429" s="217"/>
      <c r="Q429" s="217"/>
      <c r="R429" s="217"/>
      <c r="S429" s="217">
        <f t="shared" ref="S429" si="441">SUM(M429:R429)</f>
        <v>0</v>
      </c>
      <c r="T429" s="217">
        <f t="shared" ref="T429" si="442">S429+L429</f>
        <v>1000000</v>
      </c>
      <c r="U429" s="217"/>
      <c r="V429" s="217"/>
      <c r="W429" s="217"/>
      <c r="X429" s="217"/>
      <c r="Y429" s="217"/>
      <c r="Z429" s="217">
        <f>SUM(U429:Y429)</f>
        <v>0</v>
      </c>
      <c r="AA429" s="217">
        <f>Z429+T429</f>
        <v>1000000</v>
      </c>
      <c r="AB429" s="217"/>
      <c r="AC429" s="217"/>
      <c r="AD429" s="217"/>
      <c r="AE429" s="217"/>
      <c r="AF429" s="217"/>
      <c r="AG429" s="217">
        <f t="shared" ref="AG429" si="443">SUM(AB429:AF429)</f>
        <v>0</v>
      </c>
      <c r="AH429" s="217">
        <f t="shared" ref="AH429" si="444">AG429+AA429</f>
        <v>1000000</v>
      </c>
      <c r="AI429" s="217">
        <v>1000000</v>
      </c>
      <c r="AJ429" s="764">
        <f>AI429/AH429*100</f>
        <v>100</v>
      </c>
    </row>
    <row r="430" spans="1:36" ht="7" customHeight="1">
      <c r="A430" s="40"/>
      <c r="B430" s="40"/>
      <c r="C430" s="124"/>
      <c r="D430" s="124"/>
      <c r="E430" s="124"/>
      <c r="F430" s="451"/>
      <c r="G430" s="41"/>
      <c r="H430" s="66"/>
      <c r="I430" s="66"/>
      <c r="J430" s="452"/>
      <c r="K430" s="453"/>
      <c r="L430" s="217"/>
      <c r="M430" s="217"/>
      <c r="N430" s="217"/>
      <c r="O430" s="217"/>
      <c r="P430" s="217"/>
      <c r="Q430" s="217"/>
      <c r="R430" s="217"/>
      <c r="S430" s="217"/>
      <c r="T430" s="217"/>
      <c r="U430" s="217"/>
      <c r="V430" s="217"/>
      <c r="W430" s="217"/>
      <c r="X430" s="217"/>
      <c r="Y430" s="217"/>
      <c r="Z430" s="217"/>
      <c r="AA430" s="217"/>
      <c r="AB430" s="217"/>
      <c r="AC430" s="217"/>
      <c r="AD430" s="217"/>
      <c r="AE430" s="217"/>
      <c r="AF430" s="217"/>
      <c r="AG430" s="217"/>
      <c r="AH430" s="217"/>
      <c r="AI430" s="217"/>
      <c r="AJ430" s="764"/>
    </row>
    <row r="431" spans="1:36" ht="14">
      <c r="A431" s="40"/>
      <c r="B431" s="40"/>
      <c r="C431" s="124"/>
      <c r="D431" s="124"/>
      <c r="E431" s="124"/>
      <c r="F431" s="173"/>
      <c r="G431" s="64"/>
      <c r="H431" s="65"/>
      <c r="I431" s="64" t="s">
        <v>38</v>
      </c>
      <c r="J431" s="333">
        <f>SUM(J429:J430)</f>
        <v>1000000</v>
      </c>
      <c r="K431" s="457"/>
      <c r="L431" s="458">
        <f>SUM(L429:L430)</f>
        <v>1000000</v>
      </c>
      <c r="M431" s="458">
        <f t="shared" ref="M431:T431" si="445">SUM(M429:M430)</f>
        <v>0</v>
      </c>
      <c r="N431" s="458">
        <f t="shared" si="445"/>
        <v>0</v>
      </c>
      <c r="O431" s="458">
        <f t="shared" si="445"/>
        <v>0</v>
      </c>
      <c r="P431" s="458">
        <f t="shared" si="445"/>
        <v>0</v>
      </c>
      <c r="Q431" s="458">
        <f t="shared" si="445"/>
        <v>0</v>
      </c>
      <c r="R431" s="458">
        <f t="shared" si="445"/>
        <v>0</v>
      </c>
      <c r="S431" s="458">
        <f t="shared" si="445"/>
        <v>0</v>
      </c>
      <c r="T431" s="458">
        <f t="shared" si="445"/>
        <v>1000000</v>
      </c>
      <c r="U431" s="458"/>
      <c r="V431" s="458"/>
      <c r="W431" s="458"/>
      <c r="X431" s="458"/>
      <c r="Y431" s="458"/>
      <c r="Z431" s="458">
        <f t="shared" ref="Z431:AA431" si="446">SUM(Z429:Z430)</f>
        <v>0</v>
      </c>
      <c r="AA431" s="458">
        <f t="shared" si="446"/>
        <v>1000000</v>
      </c>
      <c r="AB431" s="458"/>
      <c r="AC431" s="458"/>
      <c r="AD431" s="458"/>
      <c r="AE431" s="458"/>
      <c r="AF431" s="458"/>
      <c r="AG431" s="458">
        <f t="shared" ref="AG431:AI431" si="447">SUM(AG429:AG430)</f>
        <v>0</v>
      </c>
      <c r="AH431" s="458">
        <f t="shared" si="447"/>
        <v>1000000</v>
      </c>
      <c r="AI431" s="458">
        <f t="shared" si="447"/>
        <v>1000000</v>
      </c>
      <c r="AJ431" s="770">
        <f>AI431/AH431*100</f>
        <v>100</v>
      </c>
    </row>
    <row r="432" spans="1:36" ht="14">
      <c r="A432" s="40"/>
      <c r="B432" s="40"/>
      <c r="C432" s="124"/>
      <c r="D432" s="124"/>
      <c r="E432" s="124"/>
      <c r="F432" s="451"/>
      <c r="G432" s="41"/>
      <c r="H432" s="66"/>
      <c r="I432" s="66"/>
      <c r="J432" s="452"/>
      <c r="K432" s="453"/>
      <c r="L432" s="217"/>
      <c r="M432" s="217"/>
      <c r="N432" s="217"/>
      <c r="O432" s="217"/>
      <c r="P432" s="217"/>
      <c r="Q432" s="217"/>
      <c r="R432" s="217"/>
      <c r="S432" s="217"/>
      <c r="T432" s="217"/>
      <c r="U432" s="217"/>
      <c r="V432" s="217"/>
      <c r="W432" s="217"/>
      <c r="X432" s="217"/>
      <c r="Y432" s="217"/>
      <c r="Z432" s="217"/>
      <c r="AA432" s="217"/>
      <c r="AB432" s="217"/>
      <c r="AC432" s="217"/>
      <c r="AD432" s="217"/>
      <c r="AE432" s="217"/>
      <c r="AF432" s="217"/>
      <c r="AG432" s="217"/>
      <c r="AH432" s="217"/>
      <c r="AI432" s="217"/>
      <c r="AJ432" s="764"/>
    </row>
    <row r="433" spans="1:36" ht="14">
      <c r="A433" s="40"/>
      <c r="B433" s="40">
        <v>3</v>
      </c>
      <c r="C433" s="124"/>
      <c r="D433" s="124"/>
      <c r="E433" s="124"/>
      <c r="F433" s="451"/>
      <c r="G433" s="41" t="s">
        <v>544</v>
      </c>
      <c r="H433" s="66"/>
      <c r="I433" s="66"/>
      <c r="J433" s="452"/>
      <c r="K433" s="453"/>
      <c r="L433" s="217"/>
      <c r="M433" s="217"/>
      <c r="N433" s="217"/>
      <c r="O433" s="217"/>
      <c r="P433" s="217"/>
      <c r="Q433" s="217"/>
      <c r="R433" s="217"/>
      <c r="S433" s="217"/>
      <c r="T433" s="217"/>
      <c r="U433" s="217"/>
      <c r="V433" s="217"/>
      <c r="W433" s="217"/>
      <c r="X433" s="217"/>
      <c r="Y433" s="217"/>
      <c r="Z433" s="217"/>
      <c r="AA433" s="217"/>
      <c r="AB433" s="217"/>
      <c r="AC433" s="217"/>
      <c r="AD433" s="217"/>
      <c r="AE433" s="217"/>
      <c r="AF433" s="217"/>
      <c r="AG433" s="217"/>
      <c r="AH433" s="217"/>
      <c r="AI433" s="217"/>
      <c r="AJ433" s="764"/>
    </row>
    <row r="434" spans="1:36" ht="14">
      <c r="A434" s="40"/>
      <c r="B434" s="40"/>
      <c r="C434" s="124">
        <v>1</v>
      </c>
      <c r="D434" s="124"/>
      <c r="E434" s="124"/>
      <c r="F434" s="451"/>
      <c r="G434" s="41"/>
      <c r="H434" s="66" t="s">
        <v>35</v>
      </c>
      <c r="I434" s="66"/>
      <c r="J434" s="452"/>
      <c r="K434" s="453"/>
      <c r="L434" s="454"/>
      <c r="M434" s="454"/>
      <c r="N434" s="454"/>
      <c r="O434" s="454"/>
      <c r="P434" s="454"/>
      <c r="Q434" s="454"/>
      <c r="R434" s="454"/>
      <c r="S434" s="454"/>
      <c r="T434" s="454"/>
      <c r="U434" s="454"/>
      <c r="V434" s="454"/>
      <c r="W434" s="454"/>
      <c r="X434" s="454"/>
      <c r="Y434" s="454"/>
      <c r="Z434" s="454"/>
      <c r="AA434" s="454"/>
      <c r="AB434" s="454"/>
      <c r="AC434" s="454"/>
      <c r="AD434" s="454"/>
      <c r="AE434" s="454"/>
      <c r="AF434" s="454"/>
      <c r="AG434" s="454"/>
      <c r="AH434" s="454"/>
      <c r="AI434" s="454"/>
      <c r="AJ434" s="769"/>
    </row>
    <row r="435" spans="1:36" ht="14">
      <c r="A435" s="40"/>
      <c r="B435" s="40"/>
      <c r="C435" s="124"/>
      <c r="D435" s="411">
        <v>2</v>
      </c>
      <c r="E435" s="124" t="s">
        <v>199</v>
      </c>
      <c r="F435" s="412"/>
      <c r="G435" s="36"/>
      <c r="H435" s="162"/>
      <c r="I435" s="162" t="s">
        <v>182</v>
      </c>
      <c r="J435" s="452">
        <v>1000000</v>
      </c>
      <c r="K435" s="453"/>
      <c r="L435" s="217"/>
      <c r="M435" s="217">
        <v>595283</v>
      </c>
      <c r="N435" s="217"/>
      <c r="O435" s="217"/>
      <c r="P435" s="217"/>
      <c r="Q435" s="217"/>
      <c r="R435" s="217"/>
      <c r="S435" s="217">
        <f t="shared" ref="S435" si="448">SUM(M435:R435)</f>
        <v>595283</v>
      </c>
      <c r="T435" s="217">
        <f t="shared" ref="T435" si="449">S435+L435</f>
        <v>595283</v>
      </c>
      <c r="U435" s="217"/>
      <c r="V435" s="217"/>
      <c r="W435" s="217"/>
      <c r="X435" s="217"/>
      <c r="Y435" s="217"/>
      <c r="Z435" s="217">
        <f>SUM(U435:Y435)</f>
        <v>0</v>
      </c>
      <c r="AA435" s="217">
        <f>Z435+T435</f>
        <v>595283</v>
      </c>
      <c r="AB435" s="217"/>
      <c r="AC435" s="217"/>
      <c r="AD435" s="217"/>
      <c r="AE435" s="217"/>
      <c r="AF435" s="217"/>
      <c r="AG435" s="217">
        <f t="shared" ref="AG435" si="450">SUM(AB435:AF435)</f>
        <v>0</v>
      </c>
      <c r="AH435" s="217">
        <f t="shared" ref="AH435" si="451">AG435+AA435</f>
        <v>595283</v>
      </c>
      <c r="AI435" s="217"/>
      <c r="AJ435" s="764">
        <f>AI435/AH435*100</f>
        <v>0</v>
      </c>
    </row>
    <row r="436" spans="1:36" ht="7" customHeight="1">
      <c r="A436" s="40"/>
      <c r="B436" s="40"/>
      <c r="C436" s="124"/>
      <c r="D436" s="124"/>
      <c r="E436" s="124"/>
      <c r="F436" s="451"/>
      <c r="G436" s="41"/>
      <c r="H436" s="66"/>
      <c r="I436" s="66"/>
      <c r="J436" s="452"/>
      <c r="K436" s="453"/>
      <c r="L436" s="217"/>
      <c r="M436" s="217"/>
      <c r="N436" s="217"/>
      <c r="O436" s="217"/>
      <c r="P436" s="217"/>
      <c r="Q436" s="217"/>
      <c r="R436" s="217"/>
      <c r="S436" s="217"/>
      <c r="T436" s="217"/>
      <c r="U436" s="217"/>
      <c r="V436" s="217"/>
      <c r="W436" s="217"/>
      <c r="X436" s="217"/>
      <c r="Y436" s="217"/>
      <c r="Z436" s="217"/>
      <c r="AA436" s="217"/>
      <c r="AB436" s="217"/>
      <c r="AC436" s="217"/>
      <c r="AD436" s="217"/>
      <c r="AE436" s="217"/>
      <c r="AF436" s="217"/>
      <c r="AG436" s="217"/>
      <c r="AH436" s="217"/>
      <c r="AI436" s="217"/>
      <c r="AJ436" s="764"/>
    </row>
    <row r="437" spans="1:36" ht="14">
      <c r="A437" s="40"/>
      <c r="B437" s="40"/>
      <c r="C437" s="124"/>
      <c r="D437" s="124"/>
      <c r="E437" s="124"/>
      <c r="F437" s="173"/>
      <c r="G437" s="64"/>
      <c r="H437" s="65"/>
      <c r="I437" s="64" t="s">
        <v>38</v>
      </c>
      <c r="J437" s="333">
        <f>SUM(J435:J436)</f>
        <v>1000000</v>
      </c>
      <c r="K437" s="457"/>
      <c r="L437" s="458">
        <f>SUM(L435:L436)</f>
        <v>0</v>
      </c>
      <c r="M437" s="458">
        <f>SUM(M435:M436)</f>
        <v>595283</v>
      </c>
      <c r="N437" s="458">
        <f t="shared" ref="N437:T437" si="452">SUM(N435:N436)</f>
        <v>0</v>
      </c>
      <c r="O437" s="458">
        <f t="shared" si="452"/>
        <v>0</v>
      </c>
      <c r="P437" s="458">
        <f t="shared" si="452"/>
        <v>0</v>
      </c>
      <c r="Q437" s="458">
        <f t="shared" si="452"/>
        <v>0</v>
      </c>
      <c r="R437" s="458">
        <f t="shared" si="452"/>
        <v>0</v>
      </c>
      <c r="S437" s="458">
        <f t="shared" si="452"/>
        <v>595283</v>
      </c>
      <c r="T437" s="458">
        <f t="shared" si="452"/>
        <v>595283</v>
      </c>
      <c r="U437" s="458"/>
      <c r="V437" s="458"/>
      <c r="W437" s="458"/>
      <c r="X437" s="458"/>
      <c r="Y437" s="458"/>
      <c r="Z437" s="458">
        <f t="shared" ref="Z437:AA437" si="453">SUM(Z435:Z436)</f>
        <v>0</v>
      </c>
      <c r="AA437" s="458">
        <f t="shared" si="453"/>
        <v>595283</v>
      </c>
      <c r="AB437" s="458"/>
      <c r="AC437" s="458"/>
      <c r="AD437" s="458"/>
      <c r="AE437" s="458"/>
      <c r="AF437" s="458"/>
      <c r="AG437" s="458">
        <f t="shared" ref="AG437:AH437" si="454">SUM(AG435:AG436)</f>
        <v>0</v>
      </c>
      <c r="AH437" s="458">
        <f t="shared" si="454"/>
        <v>595283</v>
      </c>
      <c r="AI437" s="458"/>
      <c r="AJ437" s="770">
        <f>AI437/AH437*100</f>
        <v>0</v>
      </c>
    </row>
    <row r="438" spans="1:36" ht="7" customHeight="1">
      <c r="A438" s="40"/>
      <c r="B438" s="40"/>
      <c r="C438" s="124"/>
      <c r="D438" s="124"/>
      <c r="E438" s="124"/>
      <c r="F438" s="451"/>
      <c r="G438" s="41"/>
      <c r="H438" s="66"/>
      <c r="I438" s="41"/>
      <c r="J438" s="126"/>
      <c r="K438" s="204"/>
      <c r="L438" s="205"/>
      <c r="M438" s="205"/>
      <c r="N438" s="205"/>
      <c r="O438" s="205"/>
      <c r="P438" s="205"/>
      <c r="Q438" s="205"/>
      <c r="R438" s="205"/>
      <c r="S438" s="205"/>
      <c r="T438" s="205"/>
      <c r="U438" s="205"/>
      <c r="V438" s="205"/>
      <c r="W438" s="205"/>
      <c r="X438" s="205"/>
      <c r="Y438" s="205"/>
      <c r="Z438" s="205"/>
      <c r="AA438" s="205"/>
      <c r="AB438" s="205"/>
      <c r="AC438" s="205"/>
      <c r="AD438" s="205"/>
      <c r="AE438" s="205"/>
      <c r="AF438" s="205"/>
      <c r="AG438" s="205"/>
      <c r="AH438" s="205"/>
      <c r="AI438" s="205"/>
      <c r="AJ438" s="747"/>
    </row>
    <row r="439" spans="1:36" ht="14">
      <c r="A439" s="40"/>
      <c r="B439" s="40"/>
      <c r="C439" s="124"/>
      <c r="D439" s="124"/>
      <c r="E439" s="124"/>
      <c r="F439" s="463"/>
      <c r="G439" s="166"/>
      <c r="H439" s="464"/>
      <c r="I439" s="166" t="s">
        <v>37</v>
      </c>
      <c r="J439" s="460">
        <f>SUM(J420:J431)/2</f>
        <v>14000000</v>
      </c>
      <c r="K439" s="461"/>
      <c r="L439" s="460">
        <f>SUM(L420:L431)/2</f>
        <v>14000000</v>
      </c>
      <c r="M439" s="460">
        <f>SUM(M420:M437)/2</f>
        <v>11740869</v>
      </c>
      <c r="N439" s="460">
        <f t="shared" ref="N439:T439" si="455">SUM(N420:N437)/2</f>
        <v>0</v>
      </c>
      <c r="O439" s="460">
        <f t="shared" si="455"/>
        <v>0</v>
      </c>
      <c r="P439" s="460">
        <f t="shared" si="455"/>
        <v>0</v>
      </c>
      <c r="Q439" s="460">
        <f t="shared" si="455"/>
        <v>-2513370</v>
      </c>
      <c r="R439" s="460">
        <f t="shared" si="455"/>
        <v>0</v>
      </c>
      <c r="S439" s="460">
        <f t="shared" si="455"/>
        <v>9227499</v>
      </c>
      <c r="T439" s="460">
        <f t="shared" si="455"/>
        <v>23227499</v>
      </c>
      <c r="U439" s="460"/>
      <c r="V439" s="460"/>
      <c r="W439" s="460">
        <f t="shared" ref="W439:AA439" si="456">SUM(W420:W437)/2</f>
        <v>2500000</v>
      </c>
      <c r="X439" s="460">
        <f t="shared" si="456"/>
        <v>61510</v>
      </c>
      <c r="Y439" s="460"/>
      <c r="Z439" s="460">
        <f t="shared" si="456"/>
        <v>2561510</v>
      </c>
      <c r="AA439" s="460">
        <f t="shared" si="456"/>
        <v>25789009</v>
      </c>
      <c r="AB439" s="460"/>
      <c r="AC439" s="460">
        <f t="shared" ref="AC439:AE439" si="457">SUM(AC420:AC437)/2</f>
        <v>6200000</v>
      </c>
      <c r="AD439" s="460">
        <f t="shared" si="457"/>
        <v>0</v>
      </c>
      <c r="AE439" s="460">
        <f t="shared" si="457"/>
        <v>1565986</v>
      </c>
      <c r="AF439" s="460"/>
      <c r="AG439" s="460">
        <f t="shared" ref="AG439:AI439" si="458">SUM(AG420:AG437)/2</f>
        <v>7765986</v>
      </c>
      <c r="AH439" s="460">
        <f t="shared" si="458"/>
        <v>33554995</v>
      </c>
      <c r="AI439" s="460">
        <f t="shared" si="458"/>
        <v>19896943</v>
      </c>
      <c r="AJ439" s="771">
        <f>AI439/AH439*100</f>
        <v>59.296516062660722</v>
      </c>
    </row>
    <row r="440" spans="1:36" ht="14">
      <c r="A440" s="40"/>
      <c r="B440" s="40"/>
      <c r="C440" s="124"/>
      <c r="D440" s="124"/>
      <c r="E440" s="124"/>
      <c r="F440" s="41"/>
      <c r="G440" s="41"/>
      <c r="H440" s="66"/>
      <c r="I440" s="41"/>
      <c r="J440" s="126"/>
      <c r="K440" s="204"/>
      <c r="L440" s="205"/>
      <c r="M440" s="205"/>
      <c r="N440" s="205"/>
      <c r="O440" s="205"/>
      <c r="P440" s="205"/>
      <c r="Q440" s="205"/>
      <c r="R440" s="205"/>
      <c r="S440" s="205"/>
      <c r="T440" s="205"/>
      <c r="U440" s="205"/>
      <c r="V440" s="205"/>
      <c r="W440" s="205"/>
      <c r="X440" s="205"/>
      <c r="Y440" s="205"/>
      <c r="Z440" s="205"/>
      <c r="AA440" s="205"/>
      <c r="AB440" s="205"/>
      <c r="AC440" s="205"/>
      <c r="AD440" s="205"/>
      <c r="AE440" s="205"/>
      <c r="AF440" s="205"/>
      <c r="AG440" s="205"/>
      <c r="AH440" s="205"/>
      <c r="AI440" s="205"/>
      <c r="AJ440" s="747"/>
    </row>
    <row r="441" spans="1:36" ht="13" customHeight="1">
      <c r="A441" s="40">
        <v>12</v>
      </c>
      <c r="B441" s="40"/>
      <c r="C441" s="124"/>
      <c r="D441" s="124"/>
      <c r="E441" s="124"/>
      <c r="F441" s="481" t="s">
        <v>264</v>
      </c>
      <c r="G441" s="481"/>
      <c r="H441" s="66"/>
      <c r="I441" s="66"/>
      <c r="J441" s="452"/>
      <c r="K441" s="453"/>
      <c r="L441" s="454"/>
      <c r="M441" s="454"/>
      <c r="N441" s="454"/>
      <c r="O441" s="454"/>
      <c r="P441" s="454"/>
      <c r="Q441" s="454"/>
      <c r="R441" s="454"/>
      <c r="S441" s="454"/>
      <c r="T441" s="454"/>
      <c r="U441" s="454"/>
      <c r="V441" s="454"/>
      <c r="W441" s="454"/>
      <c r="X441" s="454"/>
      <c r="Y441" s="454"/>
      <c r="Z441" s="454"/>
      <c r="AA441" s="454"/>
      <c r="AB441" s="454"/>
      <c r="AC441" s="454"/>
      <c r="AD441" s="454"/>
      <c r="AE441" s="454"/>
      <c r="AF441" s="454"/>
      <c r="AG441" s="454"/>
      <c r="AH441" s="454"/>
      <c r="AI441" s="454"/>
      <c r="AJ441" s="769"/>
    </row>
    <row r="442" spans="1:36" ht="13" customHeight="1">
      <c r="A442" s="40"/>
      <c r="B442" s="40">
        <v>1</v>
      </c>
      <c r="C442" s="124"/>
      <c r="D442" s="124"/>
      <c r="E442" s="124"/>
      <c r="F442" s="481"/>
      <c r="G442" s="481" t="s">
        <v>274</v>
      </c>
      <c r="H442" s="66"/>
      <c r="I442" s="66"/>
      <c r="J442" s="452"/>
      <c r="K442" s="453"/>
      <c r="L442" s="454"/>
      <c r="M442" s="454"/>
      <c r="N442" s="454"/>
      <c r="O442" s="454"/>
      <c r="P442" s="454"/>
      <c r="Q442" s="454"/>
      <c r="R442" s="454"/>
      <c r="S442" s="454"/>
      <c r="T442" s="454"/>
      <c r="U442" s="454"/>
      <c r="V442" s="454"/>
      <c r="W442" s="454"/>
      <c r="X442" s="454"/>
      <c r="Y442" s="454"/>
      <c r="Z442" s="454"/>
      <c r="AA442" s="454"/>
      <c r="AB442" s="454"/>
      <c r="AC442" s="454"/>
      <c r="AD442" s="454"/>
      <c r="AE442" s="454"/>
      <c r="AF442" s="454"/>
      <c r="AG442" s="454"/>
      <c r="AH442" s="454"/>
      <c r="AI442" s="454"/>
      <c r="AJ442" s="769"/>
    </row>
    <row r="443" spans="1:36" ht="13" customHeight="1">
      <c r="A443" s="40"/>
      <c r="B443" s="40"/>
      <c r="C443" s="124">
        <v>1</v>
      </c>
      <c r="D443" s="124"/>
      <c r="E443" s="124"/>
      <c r="F443" s="481"/>
      <c r="G443" s="481"/>
      <c r="H443" s="66" t="s">
        <v>35</v>
      </c>
      <c r="I443" s="66"/>
      <c r="J443" s="452"/>
      <c r="K443" s="453"/>
      <c r="L443" s="454"/>
      <c r="M443" s="454"/>
      <c r="N443" s="454"/>
      <c r="O443" s="454"/>
      <c r="P443" s="454"/>
      <c r="Q443" s="454"/>
      <c r="R443" s="454"/>
      <c r="S443" s="454"/>
      <c r="T443" s="454"/>
      <c r="U443" s="454"/>
      <c r="V443" s="454"/>
      <c r="W443" s="454"/>
      <c r="X443" s="454"/>
      <c r="Y443" s="454"/>
      <c r="Z443" s="454"/>
      <c r="AA443" s="454"/>
      <c r="AB443" s="454"/>
      <c r="AC443" s="454"/>
      <c r="AD443" s="454"/>
      <c r="AE443" s="454"/>
      <c r="AF443" s="454"/>
      <c r="AG443" s="217"/>
      <c r="AH443" s="217"/>
      <c r="AI443" s="454"/>
      <c r="AJ443" s="769"/>
    </row>
    <row r="444" spans="1:36" ht="13" customHeight="1">
      <c r="A444" s="160"/>
      <c r="B444" s="160"/>
      <c r="C444" s="161"/>
      <c r="D444" s="161">
        <v>1</v>
      </c>
      <c r="E444" s="124" t="s">
        <v>199</v>
      </c>
      <c r="F444" s="481"/>
      <c r="G444" s="481"/>
      <c r="H444" s="66"/>
      <c r="I444" s="66" t="s">
        <v>180</v>
      </c>
      <c r="J444" s="454"/>
      <c r="K444" s="483"/>
      <c r="L444" s="454"/>
      <c r="M444" s="454"/>
      <c r="N444" s="454"/>
      <c r="O444" s="454"/>
      <c r="P444" s="454"/>
      <c r="Q444" s="454"/>
      <c r="R444" s="454"/>
      <c r="S444" s="454"/>
      <c r="T444" s="454"/>
      <c r="U444" s="454"/>
      <c r="V444" s="454"/>
      <c r="W444" s="454"/>
      <c r="X444" s="454">
        <v>259758</v>
      </c>
      <c r="Y444" s="454"/>
      <c r="Z444" s="217">
        <f t="shared" ref="Z444:Z446" si="459">SUM(U444:Y444)</f>
        <v>259758</v>
      </c>
      <c r="AA444" s="217">
        <f t="shared" ref="AA444:AA446" si="460">Z444+T444</f>
        <v>259758</v>
      </c>
      <c r="AB444" s="454"/>
      <c r="AC444" s="454"/>
      <c r="AD444" s="454"/>
      <c r="AE444" s="454">
        <v>20367</v>
      </c>
      <c r="AF444" s="454"/>
      <c r="AG444" s="217">
        <f t="shared" ref="AG444:AG447" si="461">SUM(AB444:AF444)</f>
        <v>20367</v>
      </c>
      <c r="AH444" s="217">
        <f t="shared" ref="AH444:AH447" si="462">AG444+AA444</f>
        <v>280125</v>
      </c>
      <c r="AI444" s="217">
        <v>280125</v>
      </c>
      <c r="AJ444" s="764">
        <f t="shared" ref="AJ444:AJ447" si="463">AI444/AH444*100</f>
        <v>100</v>
      </c>
    </row>
    <row r="445" spans="1:36" ht="13" customHeight="1">
      <c r="A445" s="160"/>
      <c r="B445" s="160"/>
      <c r="C445" s="161"/>
      <c r="D445" s="161">
        <v>2</v>
      </c>
      <c r="E445" s="124" t="s">
        <v>199</v>
      </c>
      <c r="F445" s="481"/>
      <c r="G445" s="481"/>
      <c r="H445" s="66"/>
      <c r="I445" s="66" t="s">
        <v>182</v>
      </c>
      <c r="J445" s="454"/>
      <c r="K445" s="483"/>
      <c r="L445" s="454"/>
      <c r="M445" s="454"/>
      <c r="N445" s="454"/>
      <c r="O445" s="454"/>
      <c r="P445" s="454"/>
      <c r="Q445" s="454"/>
      <c r="R445" s="454"/>
      <c r="S445" s="454"/>
      <c r="T445" s="454"/>
      <c r="U445" s="454"/>
      <c r="V445" s="454"/>
      <c r="W445" s="454"/>
      <c r="X445" s="454">
        <v>117795</v>
      </c>
      <c r="Y445" s="454"/>
      <c r="Z445" s="217">
        <f t="shared" si="459"/>
        <v>117795</v>
      </c>
      <c r="AA445" s="217">
        <f t="shared" si="460"/>
        <v>117795</v>
      </c>
      <c r="AB445" s="454"/>
      <c r="AC445" s="454"/>
      <c r="AD445" s="454"/>
      <c r="AE445" s="454">
        <v>10530</v>
      </c>
      <c r="AF445" s="454"/>
      <c r="AG445" s="217">
        <f t="shared" si="461"/>
        <v>10530</v>
      </c>
      <c r="AH445" s="217">
        <f t="shared" si="462"/>
        <v>128325</v>
      </c>
      <c r="AI445" s="217">
        <v>128325</v>
      </c>
      <c r="AJ445" s="764">
        <f t="shared" si="463"/>
        <v>100</v>
      </c>
    </row>
    <row r="446" spans="1:36" ht="13" customHeight="1">
      <c r="A446" s="160"/>
      <c r="B446" s="160"/>
      <c r="C446" s="161"/>
      <c r="D446" s="161">
        <v>3</v>
      </c>
      <c r="E446" s="124" t="s">
        <v>199</v>
      </c>
      <c r="F446" s="481"/>
      <c r="G446" s="481"/>
      <c r="H446" s="66"/>
      <c r="I446" s="66" t="s">
        <v>116</v>
      </c>
      <c r="J446" s="454"/>
      <c r="K446" s="483"/>
      <c r="L446" s="454"/>
      <c r="M446" s="454"/>
      <c r="N446" s="454"/>
      <c r="O446" s="454"/>
      <c r="P446" s="454"/>
      <c r="Q446" s="454"/>
      <c r="R446" s="454"/>
      <c r="S446" s="454"/>
      <c r="T446" s="454"/>
      <c r="U446" s="454"/>
      <c r="V446" s="454"/>
      <c r="W446" s="454"/>
      <c r="X446" s="454">
        <v>4057182</v>
      </c>
      <c r="Y446" s="454"/>
      <c r="Z446" s="217">
        <f t="shared" si="459"/>
        <v>4057182</v>
      </c>
      <c r="AA446" s="217">
        <f t="shared" si="460"/>
        <v>4057182</v>
      </c>
      <c r="AB446" s="454"/>
      <c r="AC446" s="454"/>
      <c r="AD446" s="454"/>
      <c r="AE446" s="454">
        <v>4171442</v>
      </c>
      <c r="AF446" s="454"/>
      <c r="AG446" s="217">
        <f t="shared" si="461"/>
        <v>4171442</v>
      </c>
      <c r="AH446" s="217">
        <f t="shared" si="462"/>
        <v>8228624</v>
      </c>
      <c r="AI446" s="217">
        <v>7564414</v>
      </c>
      <c r="AJ446" s="764">
        <f t="shared" si="463"/>
        <v>91.928055042981669</v>
      </c>
    </row>
    <row r="447" spans="1:36" ht="13" customHeight="1">
      <c r="A447" s="40"/>
      <c r="B447" s="40"/>
      <c r="C447" s="124"/>
      <c r="D447" s="124">
        <v>5</v>
      </c>
      <c r="E447" s="124" t="s">
        <v>199</v>
      </c>
      <c r="F447" s="481"/>
      <c r="G447" s="481"/>
      <c r="H447" s="66"/>
      <c r="I447" s="66" t="s">
        <v>185</v>
      </c>
      <c r="J447" s="128">
        <v>35500000</v>
      </c>
      <c r="K447" s="208"/>
      <c r="L447" s="217">
        <f>SUM(J447:K447)</f>
        <v>35500000</v>
      </c>
      <c r="M447" s="217"/>
      <c r="N447" s="217"/>
      <c r="O447" s="217">
        <v>5300000</v>
      </c>
      <c r="P447" s="217"/>
      <c r="Q447" s="217">
        <v>950000</v>
      </c>
      <c r="R447" s="217"/>
      <c r="S447" s="217">
        <f t="shared" ref="S447" si="464">SUM(M447:R447)</f>
        <v>6250000</v>
      </c>
      <c r="T447" s="217">
        <f t="shared" ref="T447" si="465">S447+L447</f>
        <v>41750000</v>
      </c>
      <c r="U447" s="217"/>
      <c r="V447" s="217"/>
      <c r="W447" s="217"/>
      <c r="X447" s="217"/>
      <c r="Y447" s="217"/>
      <c r="Z447" s="217">
        <f>SUM(U447:Y447)</f>
        <v>0</v>
      </c>
      <c r="AA447" s="217">
        <f>Z447+T447</f>
        <v>41750000</v>
      </c>
      <c r="AB447" s="217"/>
      <c r="AC447" s="217"/>
      <c r="AD447" s="217"/>
      <c r="AE447" s="217"/>
      <c r="AF447" s="217"/>
      <c r="AG447" s="217">
        <f t="shared" si="461"/>
        <v>0</v>
      </c>
      <c r="AH447" s="217">
        <f t="shared" si="462"/>
        <v>41750000</v>
      </c>
      <c r="AI447" s="217">
        <v>41750000</v>
      </c>
      <c r="AJ447" s="764">
        <f t="shared" si="463"/>
        <v>100</v>
      </c>
    </row>
    <row r="448" spans="1:36" ht="6" customHeight="1">
      <c r="A448" s="40"/>
      <c r="B448" s="40"/>
      <c r="C448" s="124"/>
      <c r="D448" s="124"/>
      <c r="E448" s="124"/>
      <c r="F448" s="481"/>
      <c r="G448" s="481"/>
      <c r="H448" s="66"/>
      <c r="I448" s="66"/>
      <c r="J448" s="452"/>
      <c r="K448" s="453"/>
      <c r="L448" s="454"/>
      <c r="M448" s="454"/>
      <c r="N448" s="454"/>
      <c r="O448" s="454"/>
      <c r="P448" s="454"/>
      <c r="Q448" s="454"/>
      <c r="R448" s="454"/>
      <c r="S448" s="454"/>
      <c r="T448" s="454"/>
      <c r="U448" s="454"/>
      <c r="V448" s="454"/>
      <c r="W448" s="454"/>
      <c r="X448" s="454"/>
      <c r="Y448" s="454"/>
      <c r="Z448" s="454"/>
      <c r="AA448" s="454"/>
      <c r="AB448" s="454"/>
      <c r="AC448" s="454"/>
      <c r="AD448" s="454"/>
      <c r="AE448" s="454"/>
      <c r="AF448" s="454"/>
      <c r="AG448" s="454"/>
      <c r="AH448" s="454"/>
      <c r="AI448" s="454"/>
      <c r="AJ448" s="769"/>
    </row>
    <row r="449" spans="1:36" ht="13" customHeight="1">
      <c r="A449" s="40"/>
      <c r="B449" s="40"/>
      <c r="C449" s="124"/>
      <c r="D449" s="124"/>
      <c r="E449" s="124"/>
      <c r="F449" s="173"/>
      <c r="G449" s="64"/>
      <c r="H449" s="65"/>
      <c r="I449" s="64" t="s">
        <v>38</v>
      </c>
      <c r="J449" s="333">
        <f>SUM(J447:J448)</f>
        <v>35500000</v>
      </c>
      <c r="K449" s="457"/>
      <c r="L449" s="458">
        <f>SUM(L447:L448)</f>
        <v>35500000</v>
      </c>
      <c r="M449" s="458">
        <f t="shared" ref="M449:T449" si="466">SUM(M447:M448)</f>
        <v>0</v>
      </c>
      <c r="N449" s="458">
        <f t="shared" si="466"/>
        <v>0</v>
      </c>
      <c r="O449" s="458">
        <f t="shared" si="466"/>
        <v>5300000</v>
      </c>
      <c r="P449" s="458">
        <f t="shared" si="466"/>
        <v>0</v>
      </c>
      <c r="Q449" s="458">
        <f t="shared" si="466"/>
        <v>950000</v>
      </c>
      <c r="R449" s="458">
        <f t="shared" si="466"/>
        <v>0</v>
      </c>
      <c r="S449" s="458">
        <f t="shared" si="466"/>
        <v>6250000</v>
      </c>
      <c r="T449" s="458">
        <f t="shared" si="466"/>
        <v>41750000</v>
      </c>
      <c r="U449" s="458"/>
      <c r="V449" s="458"/>
      <c r="W449" s="458"/>
      <c r="X449" s="458">
        <f>SUM(X444:X448)</f>
        <v>4434735</v>
      </c>
      <c r="Y449" s="458">
        <f t="shared" ref="Y449:AA449" si="467">SUM(Y444:Y448)</f>
        <v>0</v>
      </c>
      <c r="Z449" s="458">
        <f t="shared" si="467"/>
        <v>4434735</v>
      </c>
      <c r="AA449" s="458">
        <f t="shared" si="467"/>
        <v>46184735</v>
      </c>
      <c r="AB449" s="458"/>
      <c r="AC449" s="458"/>
      <c r="AD449" s="458"/>
      <c r="AE449" s="458">
        <f>SUM(AE444:AE448)</f>
        <v>4202339</v>
      </c>
      <c r="AF449" s="458">
        <f t="shared" ref="AF449:AH449" si="468">SUM(AF444:AF448)</f>
        <v>0</v>
      </c>
      <c r="AG449" s="458">
        <f t="shared" si="468"/>
        <v>4202339</v>
      </c>
      <c r="AH449" s="458">
        <f t="shared" si="468"/>
        <v>50387074</v>
      </c>
      <c r="AI449" s="458">
        <f t="shared" ref="AI449" si="469">SUM(AI444:AI448)</f>
        <v>49722864</v>
      </c>
      <c r="AJ449" s="770">
        <f>AI449/AH449*100</f>
        <v>98.681784935557076</v>
      </c>
    </row>
    <row r="450" spans="1:36" ht="5" customHeight="1">
      <c r="A450" s="40"/>
      <c r="B450" s="40"/>
      <c r="C450" s="124"/>
      <c r="D450" s="124"/>
      <c r="E450" s="124"/>
      <c r="F450" s="481"/>
      <c r="G450" s="481"/>
      <c r="H450" s="66"/>
      <c r="I450" s="66"/>
      <c r="J450" s="452"/>
      <c r="K450" s="453"/>
      <c r="L450" s="454"/>
      <c r="M450" s="454"/>
      <c r="N450" s="454"/>
      <c r="O450" s="454"/>
      <c r="P450" s="454"/>
      <c r="Q450" s="454"/>
      <c r="R450" s="454"/>
      <c r="S450" s="454"/>
      <c r="T450" s="454"/>
      <c r="U450" s="454"/>
      <c r="V450" s="454"/>
      <c r="W450" s="454"/>
      <c r="X450" s="454"/>
      <c r="Y450" s="454"/>
      <c r="Z450" s="454"/>
      <c r="AA450" s="454"/>
      <c r="AB450" s="454"/>
      <c r="AC450" s="454"/>
      <c r="AD450" s="454"/>
      <c r="AE450" s="454"/>
      <c r="AF450" s="454"/>
      <c r="AG450" s="454"/>
      <c r="AH450" s="454"/>
      <c r="AI450" s="454"/>
      <c r="AJ450" s="769"/>
    </row>
    <row r="451" spans="1:36" ht="13" customHeight="1">
      <c r="A451" s="40"/>
      <c r="B451" s="40"/>
      <c r="C451" s="124"/>
      <c r="D451" s="124"/>
      <c r="E451" s="124"/>
      <c r="F451" s="463"/>
      <c r="G451" s="166"/>
      <c r="H451" s="464"/>
      <c r="I451" s="166" t="s">
        <v>37</v>
      </c>
      <c r="J451" s="460">
        <f>SUM(J447:J449)/2</f>
        <v>35500000</v>
      </c>
      <c r="K451" s="461"/>
      <c r="L451" s="460">
        <f>SUM(L447:L449)/2</f>
        <v>35500000</v>
      </c>
      <c r="M451" s="460">
        <f t="shared" ref="M451:T451" si="470">SUM(M447:M449)/2</f>
        <v>0</v>
      </c>
      <c r="N451" s="460">
        <f t="shared" si="470"/>
        <v>0</v>
      </c>
      <c r="O451" s="460">
        <f t="shared" si="470"/>
        <v>5300000</v>
      </c>
      <c r="P451" s="460">
        <f t="shared" si="470"/>
        <v>0</v>
      </c>
      <c r="Q451" s="460">
        <f t="shared" si="470"/>
        <v>950000</v>
      </c>
      <c r="R451" s="460">
        <f t="shared" si="470"/>
        <v>0</v>
      </c>
      <c r="S451" s="460">
        <f t="shared" si="470"/>
        <v>6250000</v>
      </c>
      <c r="T451" s="460">
        <f t="shared" si="470"/>
        <v>41750000</v>
      </c>
      <c r="U451" s="460"/>
      <c r="V451" s="460"/>
      <c r="W451" s="460"/>
      <c r="X451" s="460">
        <f>SUM(X444:X449)/2</f>
        <v>4434735</v>
      </c>
      <c r="Y451" s="460">
        <f t="shared" ref="Y451:AA451" si="471">SUM(Y444:Y449)/2</f>
        <v>0</v>
      </c>
      <c r="Z451" s="460">
        <f t="shared" si="471"/>
        <v>4434735</v>
      </c>
      <c r="AA451" s="460">
        <f t="shared" si="471"/>
        <v>46184735</v>
      </c>
      <c r="AB451" s="460"/>
      <c r="AC451" s="460"/>
      <c r="AD451" s="460"/>
      <c r="AE451" s="460">
        <f>SUM(AE444:AE449)/2</f>
        <v>4202339</v>
      </c>
      <c r="AF451" s="460">
        <f t="shared" ref="AF451:AH451" si="472">SUM(AF444:AF449)/2</f>
        <v>0</v>
      </c>
      <c r="AG451" s="460">
        <f t="shared" si="472"/>
        <v>4202339</v>
      </c>
      <c r="AH451" s="460">
        <f t="shared" si="472"/>
        <v>50387074</v>
      </c>
      <c r="AI451" s="460">
        <f t="shared" ref="AI451" si="473">SUM(AI444:AI449)/2</f>
        <v>49722864</v>
      </c>
      <c r="AJ451" s="771">
        <f>AI451/AH451*100</f>
        <v>98.681784935557076</v>
      </c>
    </row>
    <row r="452" spans="1:36" ht="14">
      <c r="A452" s="40"/>
      <c r="B452" s="40"/>
      <c r="C452" s="124"/>
      <c r="D452" s="124"/>
      <c r="E452" s="124"/>
      <c r="F452" s="481"/>
      <c r="G452" s="481"/>
      <c r="H452" s="66"/>
      <c r="I452" s="66"/>
      <c r="J452" s="452"/>
      <c r="K452" s="453"/>
      <c r="L452" s="454"/>
      <c r="M452" s="454"/>
      <c r="N452" s="454"/>
      <c r="O452" s="454"/>
      <c r="P452" s="454"/>
      <c r="Q452" s="454"/>
      <c r="R452" s="454"/>
      <c r="S452" s="454"/>
      <c r="T452" s="454"/>
      <c r="U452" s="454"/>
      <c r="V452" s="454"/>
      <c r="W452" s="454"/>
      <c r="X452" s="454"/>
      <c r="Y452" s="454"/>
      <c r="Z452" s="454"/>
      <c r="AA452" s="454"/>
      <c r="AB452" s="454"/>
      <c r="AC452" s="454"/>
      <c r="AD452" s="454"/>
      <c r="AE452" s="454"/>
      <c r="AF452" s="454"/>
      <c r="AG452" s="454"/>
      <c r="AH452" s="454"/>
      <c r="AI452" s="454"/>
      <c r="AJ452" s="769"/>
    </row>
    <row r="453" spans="1:36" ht="15.75" customHeight="1">
      <c r="A453" s="40">
        <v>13</v>
      </c>
      <c r="B453" s="40"/>
      <c r="C453" s="124"/>
      <c r="D453" s="124"/>
      <c r="E453" s="124"/>
      <c r="F453" s="481" t="s">
        <v>210</v>
      </c>
      <c r="G453" s="481"/>
      <c r="H453" s="66"/>
      <c r="I453" s="66"/>
      <c r="J453" s="452"/>
      <c r="K453" s="453"/>
      <c r="L453" s="454"/>
      <c r="M453" s="454"/>
      <c r="N453" s="454"/>
      <c r="O453" s="454"/>
      <c r="P453" s="454"/>
      <c r="Q453" s="454"/>
      <c r="R453" s="454"/>
      <c r="S453" s="454"/>
      <c r="T453" s="454"/>
      <c r="U453" s="454"/>
      <c r="V453" s="454"/>
      <c r="W453" s="454"/>
      <c r="X453" s="454"/>
      <c r="Y453" s="454"/>
      <c r="Z453" s="454"/>
      <c r="AA453" s="454"/>
      <c r="AB453" s="454"/>
      <c r="AC453" s="454"/>
      <c r="AD453" s="454"/>
      <c r="AE453" s="454"/>
      <c r="AF453" s="454"/>
      <c r="AG453" s="454"/>
      <c r="AH453" s="454"/>
      <c r="AI453" s="454"/>
      <c r="AJ453" s="769"/>
    </row>
    <row r="454" spans="1:36" ht="26.25" customHeight="1">
      <c r="A454" s="40"/>
      <c r="B454" s="40">
        <v>1</v>
      </c>
      <c r="C454" s="124"/>
      <c r="D454" s="124"/>
      <c r="E454" s="124"/>
      <c r="F454" s="451"/>
      <c r="G454" s="935" t="s">
        <v>467</v>
      </c>
      <c r="H454" s="935"/>
      <c r="I454" s="936"/>
      <c r="J454" s="452"/>
      <c r="K454" s="453"/>
      <c r="L454" s="454"/>
      <c r="M454" s="454"/>
      <c r="N454" s="454"/>
      <c r="O454" s="454"/>
      <c r="P454" s="454"/>
      <c r="Q454" s="454"/>
      <c r="R454" s="454"/>
      <c r="S454" s="454"/>
      <c r="T454" s="454"/>
      <c r="U454" s="454"/>
      <c r="V454" s="454"/>
      <c r="W454" s="454"/>
      <c r="X454" s="454"/>
      <c r="Y454" s="454"/>
      <c r="Z454" s="454"/>
      <c r="AA454" s="454"/>
      <c r="AB454" s="454"/>
      <c r="AC454" s="454"/>
      <c r="AD454" s="454"/>
      <c r="AE454" s="454"/>
      <c r="AF454" s="454"/>
      <c r="AG454" s="454"/>
      <c r="AH454" s="454"/>
      <c r="AI454" s="454"/>
      <c r="AJ454" s="769"/>
    </row>
    <row r="455" spans="1:36" ht="14">
      <c r="A455" s="40"/>
      <c r="B455" s="40"/>
      <c r="C455" s="124">
        <v>1</v>
      </c>
      <c r="D455" s="124"/>
      <c r="E455" s="124"/>
      <c r="F455" s="451"/>
      <c r="G455" s="41"/>
      <c r="H455" s="66" t="s">
        <v>35</v>
      </c>
      <c r="I455" s="66"/>
      <c r="J455" s="452"/>
      <c r="K455" s="453"/>
      <c r="L455" s="454"/>
      <c r="M455" s="454"/>
      <c r="N455" s="454"/>
      <c r="O455" s="454"/>
      <c r="P455" s="454"/>
      <c r="Q455" s="454"/>
      <c r="R455" s="454"/>
      <c r="S455" s="454"/>
      <c r="T455" s="454"/>
      <c r="U455" s="454"/>
      <c r="V455" s="454"/>
      <c r="W455" s="454"/>
      <c r="X455" s="454"/>
      <c r="Y455" s="454"/>
      <c r="Z455" s="454"/>
      <c r="AA455" s="454"/>
      <c r="AB455" s="454"/>
      <c r="AC455" s="454"/>
      <c r="AD455" s="454"/>
      <c r="AE455" s="454"/>
      <c r="AF455" s="454"/>
      <c r="AG455" s="454"/>
      <c r="AH455" s="454"/>
      <c r="AI455" s="454"/>
      <c r="AJ455" s="769"/>
    </row>
    <row r="456" spans="1:36" ht="14">
      <c r="A456" s="40"/>
      <c r="B456" s="40"/>
      <c r="C456" s="124"/>
      <c r="D456" s="124">
        <v>5</v>
      </c>
      <c r="E456" s="124" t="s">
        <v>199</v>
      </c>
      <c r="F456" s="451"/>
      <c r="G456" s="41"/>
      <c r="H456" s="66"/>
      <c r="I456" s="162" t="s">
        <v>185</v>
      </c>
      <c r="J456" s="452">
        <v>1000000</v>
      </c>
      <c r="K456" s="453"/>
      <c r="L456" s="217">
        <f>SUM(J456:K456)</f>
        <v>1000000</v>
      </c>
      <c r="M456" s="217"/>
      <c r="N456" s="217"/>
      <c r="O456" s="217"/>
      <c r="P456" s="217"/>
      <c r="Q456" s="217"/>
      <c r="R456" s="217"/>
      <c r="S456" s="217">
        <f t="shared" ref="S456" si="474">SUM(M456:R456)</f>
        <v>0</v>
      </c>
      <c r="T456" s="217">
        <f t="shared" ref="T456" si="475">S456+L456</f>
        <v>1000000</v>
      </c>
      <c r="U456" s="217"/>
      <c r="V456" s="217"/>
      <c r="W456" s="217"/>
      <c r="X456" s="217"/>
      <c r="Y456" s="217"/>
      <c r="Z456" s="217">
        <f>SUM(U456:Y456)</f>
        <v>0</v>
      </c>
      <c r="AA456" s="217">
        <f>Z456+T456</f>
        <v>1000000</v>
      </c>
      <c r="AB456" s="217"/>
      <c r="AC456" s="217"/>
      <c r="AD456" s="217"/>
      <c r="AE456" s="217"/>
      <c r="AF456" s="217"/>
      <c r="AG456" s="217">
        <f t="shared" ref="AG456" si="476">SUM(AB456:AF456)</f>
        <v>0</v>
      </c>
      <c r="AH456" s="217">
        <f t="shared" ref="AH456" si="477">AG456+AA456</f>
        <v>1000000</v>
      </c>
      <c r="AI456" s="217">
        <v>1000000</v>
      </c>
      <c r="AJ456" s="764">
        <f>AI456/AH456*100</f>
        <v>100</v>
      </c>
    </row>
    <row r="457" spans="1:36" ht="8" customHeight="1">
      <c r="A457" s="40"/>
      <c r="B457" s="40"/>
      <c r="C457" s="124"/>
      <c r="D457" s="124"/>
      <c r="E457" s="124"/>
      <c r="F457" s="451"/>
      <c r="G457" s="41"/>
      <c r="H457" s="66"/>
      <c r="I457" s="66"/>
      <c r="J457" s="452"/>
      <c r="K457" s="453"/>
      <c r="L457" s="454"/>
      <c r="M457" s="454"/>
      <c r="N457" s="454"/>
      <c r="O457" s="454"/>
      <c r="P457" s="454"/>
      <c r="Q457" s="454"/>
      <c r="R457" s="454"/>
      <c r="S457" s="454"/>
      <c r="T457" s="454"/>
      <c r="U457" s="454"/>
      <c r="V457" s="454"/>
      <c r="W457" s="454"/>
      <c r="X457" s="454"/>
      <c r="Y457" s="454"/>
      <c r="Z457" s="454"/>
      <c r="AA457" s="454"/>
      <c r="AB457" s="454"/>
      <c r="AC457" s="454"/>
      <c r="AD457" s="454"/>
      <c r="AE457" s="454"/>
      <c r="AF457" s="454"/>
      <c r="AG457" s="454"/>
      <c r="AH457" s="454"/>
      <c r="AI457" s="454"/>
      <c r="AJ457" s="769"/>
    </row>
    <row r="458" spans="1:36" ht="14">
      <c r="A458" s="40"/>
      <c r="B458" s="40"/>
      <c r="C458" s="124"/>
      <c r="D458" s="124"/>
      <c r="E458" s="124"/>
      <c r="F458" s="173"/>
      <c r="G458" s="64"/>
      <c r="H458" s="65"/>
      <c r="I458" s="64" t="s">
        <v>38</v>
      </c>
      <c r="J458" s="333">
        <f>SUM(J454:J457)</f>
        <v>1000000</v>
      </c>
      <c r="K458" s="457"/>
      <c r="L458" s="458">
        <f>SUM(L454:L457)</f>
        <v>1000000</v>
      </c>
      <c r="M458" s="458">
        <f t="shared" ref="M458:T458" si="478">SUM(M454:M457)</f>
        <v>0</v>
      </c>
      <c r="N458" s="458">
        <f t="shared" si="478"/>
        <v>0</v>
      </c>
      <c r="O458" s="458">
        <f t="shared" si="478"/>
        <v>0</v>
      </c>
      <c r="P458" s="458">
        <f t="shared" si="478"/>
        <v>0</v>
      </c>
      <c r="Q458" s="458">
        <f t="shared" si="478"/>
        <v>0</v>
      </c>
      <c r="R458" s="458">
        <f t="shared" si="478"/>
        <v>0</v>
      </c>
      <c r="S458" s="458">
        <f t="shared" si="478"/>
        <v>0</v>
      </c>
      <c r="T458" s="458">
        <f t="shared" si="478"/>
        <v>1000000</v>
      </c>
      <c r="U458" s="458"/>
      <c r="V458" s="458"/>
      <c r="W458" s="458"/>
      <c r="X458" s="458"/>
      <c r="Y458" s="458"/>
      <c r="Z458" s="458">
        <f t="shared" ref="Z458:AA458" si="479">SUM(Z454:Z457)</f>
        <v>0</v>
      </c>
      <c r="AA458" s="458">
        <f t="shared" si="479"/>
        <v>1000000</v>
      </c>
      <c r="AB458" s="458"/>
      <c r="AC458" s="458"/>
      <c r="AD458" s="458"/>
      <c r="AE458" s="458"/>
      <c r="AF458" s="458"/>
      <c r="AG458" s="458">
        <f t="shared" ref="AG458:AI458" si="480">SUM(AG454:AG457)</f>
        <v>0</v>
      </c>
      <c r="AH458" s="458">
        <f t="shared" si="480"/>
        <v>1000000</v>
      </c>
      <c r="AI458" s="458">
        <f t="shared" si="480"/>
        <v>1000000</v>
      </c>
      <c r="AJ458" s="770">
        <f>AI458/AH458*100</f>
        <v>100</v>
      </c>
    </row>
    <row r="459" spans="1:36" ht="14">
      <c r="A459" s="40"/>
      <c r="B459" s="40"/>
      <c r="C459" s="124"/>
      <c r="D459" s="124"/>
      <c r="E459" s="124"/>
      <c r="F459" s="451"/>
      <c r="G459" s="41"/>
      <c r="H459" s="66"/>
      <c r="I459" s="41"/>
      <c r="J459" s="126"/>
      <c r="K459" s="204"/>
      <c r="L459" s="205"/>
      <c r="M459" s="205"/>
      <c r="N459" s="205"/>
      <c r="O459" s="205"/>
      <c r="P459" s="205"/>
      <c r="Q459" s="205"/>
      <c r="R459" s="205"/>
      <c r="S459" s="205"/>
      <c r="T459" s="205"/>
      <c r="U459" s="205"/>
      <c r="V459" s="205"/>
      <c r="W459" s="205"/>
      <c r="X459" s="205"/>
      <c r="Y459" s="205"/>
      <c r="Z459" s="205"/>
      <c r="AA459" s="205"/>
      <c r="AB459" s="205"/>
      <c r="AC459" s="205"/>
      <c r="AD459" s="205"/>
      <c r="AE459" s="205"/>
      <c r="AF459" s="205"/>
      <c r="AG459" s="205"/>
      <c r="AH459" s="205"/>
      <c r="AI459" s="205"/>
      <c r="AJ459" s="747"/>
    </row>
    <row r="460" spans="1:36" ht="30" customHeight="1">
      <c r="A460" s="40"/>
      <c r="B460" s="40">
        <v>2</v>
      </c>
      <c r="C460" s="124"/>
      <c r="D460" s="124"/>
      <c r="E460" s="124"/>
      <c r="F460" s="451"/>
      <c r="G460" s="935" t="s">
        <v>468</v>
      </c>
      <c r="H460" s="935"/>
      <c r="I460" s="936"/>
      <c r="J460" s="452"/>
      <c r="K460" s="453"/>
      <c r="L460" s="454"/>
      <c r="M460" s="454"/>
      <c r="N460" s="454"/>
      <c r="O460" s="454"/>
      <c r="P460" s="454"/>
      <c r="Q460" s="454"/>
      <c r="R460" s="454"/>
      <c r="S460" s="454"/>
      <c r="T460" s="454"/>
      <c r="U460" s="454"/>
      <c r="V460" s="454"/>
      <c r="W460" s="454"/>
      <c r="X460" s="454"/>
      <c r="Y460" s="454"/>
      <c r="Z460" s="454"/>
      <c r="AA460" s="454"/>
      <c r="AB460" s="454"/>
      <c r="AC460" s="454"/>
      <c r="AD460" s="454"/>
      <c r="AE460" s="454"/>
      <c r="AF460" s="454"/>
      <c r="AG460" s="454"/>
      <c r="AH460" s="454"/>
      <c r="AI460" s="454"/>
      <c r="AJ460" s="769"/>
    </row>
    <row r="461" spans="1:36" ht="14">
      <c r="A461" s="40"/>
      <c r="B461" s="40"/>
      <c r="C461" s="124">
        <v>1</v>
      </c>
      <c r="D461" s="124"/>
      <c r="E461" s="124"/>
      <c r="F461" s="451"/>
      <c r="G461" s="41"/>
      <c r="H461" s="66" t="s">
        <v>35</v>
      </c>
      <c r="I461" s="66"/>
      <c r="J461" s="452"/>
      <c r="K461" s="453"/>
      <c r="L461" s="454"/>
      <c r="M461" s="454"/>
      <c r="N461" s="454"/>
      <c r="O461" s="454"/>
      <c r="P461" s="454"/>
      <c r="Q461" s="454"/>
      <c r="R461" s="454"/>
      <c r="S461" s="454"/>
      <c r="T461" s="454"/>
      <c r="U461" s="454"/>
      <c r="V461" s="454"/>
      <c r="W461" s="454"/>
      <c r="X461" s="454"/>
      <c r="Y461" s="454"/>
      <c r="Z461" s="454"/>
      <c r="AA461" s="454"/>
      <c r="AB461" s="454"/>
      <c r="AC461" s="454"/>
      <c r="AD461" s="454"/>
      <c r="AE461" s="454"/>
      <c r="AF461" s="454"/>
      <c r="AG461" s="454"/>
      <c r="AH461" s="454"/>
      <c r="AI461" s="454"/>
      <c r="AJ461" s="769"/>
    </row>
    <row r="462" spans="1:36" ht="14">
      <c r="A462" s="40"/>
      <c r="B462" s="40"/>
      <c r="C462" s="124"/>
      <c r="D462" s="124">
        <v>5</v>
      </c>
      <c r="E462" s="124" t="s">
        <v>199</v>
      </c>
      <c r="F462" s="451"/>
      <c r="G462" s="41"/>
      <c r="H462" s="66"/>
      <c r="I462" s="162" t="s">
        <v>185</v>
      </c>
      <c r="J462" s="452">
        <v>1000000</v>
      </c>
      <c r="K462" s="453"/>
      <c r="L462" s="217">
        <f>SUM(J462:K462)</f>
        <v>1000000</v>
      </c>
      <c r="M462" s="217"/>
      <c r="N462" s="217"/>
      <c r="O462" s="217"/>
      <c r="P462" s="217"/>
      <c r="Q462" s="217"/>
      <c r="R462" s="217"/>
      <c r="S462" s="217">
        <f t="shared" ref="S462" si="481">SUM(M462:R462)</f>
        <v>0</v>
      </c>
      <c r="T462" s="217">
        <f t="shared" ref="T462" si="482">S462+L462</f>
        <v>1000000</v>
      </c>
      <c r="U462" s="217"/>
      <c r="V462" s="217"/>
      <c r="W462" s="217"/>
      <c r="X462" s="217"/>
      <c r="Y462" s="217"/>
      <c r="Z462" s="217">
        <f>SUM(U462:Y462)</f>
        <v>0</v>
      </c>
      <c r="AA462" s="217">
        <f>Z462+T462</f>
        <v>1000000</v>
      </c>
      <c r="AB462" s="217"/>
      <c r="AC462" s="217"/>
      <c r="AD462" s="217"/>
      <c r="AE462" s="217"/>
      <c r="AF462" s="217"/>
      <c r="AG462" s="217">
        <f t="shared" ref="AG462" si="483">SUM(AB462:AF462)</f>
        <v>0</v>
      </c>
      <c r="AH462" s="217">
        <f t="shared" ref="AH462" si="484">AG462+AA462</f>
        <v>1000000</v>
      </c>
      <c r="AI462" s="217">
        <v>1000000</v>
      </c>
      <c r="AJ462" s="764">
        <f>AI462/AH462*100</f>
        <v>100</v>
      </c>
    </row>
    <row r="463" spans="1:36" ht="14">
      <c r="A463" s="40"/>
      <c r="B463" s="40"/>
      <c r="C463" s="124"/>
      <c r="D463" s="124"/>
      <c r="E463" s="124"/>
      <c r="F463" s="451"/>
      <c r="G463" s="41"/>
      <c r="H463" s="66"/>
      <c r="I463" s="66"/>
      <c r="J463" s="452"/>
      <c r="K463" s="453"/>
      <c r="L463" s="454"/>
      <c r="M463" s="454"/>
      <c r="N463" s="454"/>
      <c r="O463" s="454"/>
      <c r="P463" s="454"/>
      <c r="Q463" s="454"/>
      <c r="R463" s="454"/>
      <c r="S463" s="454"/>
      <c r="T463" s="454"/>
      <c r="U463" s="454"/>
      <c r="V463" s="454"/>
      <c r="W463" s="454"/>
      <c r="X463" s="454"/>
      <c r="Y463" s="454"/>
      <c r="Z463" s="454"/>
      <c r="AA463" s="454"/>
      <c r="AB463" s="454"/>
      <c r="AC463" s="454"/>
      <c r="AD463" s="454"/>
      <c r="AE463" s="454"/>
      <c r="AF463" s="454"/>
      <c r="AG463" s="454"/>
      <c r="AH463" s="454"/>
      <c r="AI463" s="454"/>
      <c r="AJ463" s="769"/>
    </row>
    <row r="464" spans="1:36" ht="14">
      <c r="A464" s="40"/>
      <c r="B464" s="40"/>
      <c r="C464" s="124"/>
      <c r="D464" s="124"/>
      <c r="E464" s="124"/>
      <c r="F464" s="173"/>
      <c r="G464" s="64"/>
      <c r="H464" s="65"/>
      <c r="I464" s="64" t="s">
        <v>38</v>
      </c>
      <c r="J464" s="333">
        <f>SUM(J459:J463)</f>
        <v>1000000</v>
      </c>
      <c r="K464" s="457"/>
      <c r="L464" s="458">
        <f>SUM(L459:L463)</f>
        <v>1000000</v>
      </c>
      <c r="M464" s="458">
        <f t="shared" ref="M464:T464" si="485">SUM(M459:M463)</f>
        <v>0</v>
      </c>
      <c r="N464" s="458">
        <f t="shared" si="485"/>
        <v>0</v>
      </c>
      <c r="O464" s="458">
        <f t="shared" si="485"/>
        <v>0</v>
      </c>
      <c r="P464" s="458">
        <f t="shared" si="485"/>
        <v>0</v>
      </c>
      <c r="Q464" s="458">
        <f t="shared" si="485"/>
        <v>0</v>
      </c>
      <c r="R464" s="458">
        <f t="shared" si="485"/>
        <v>0</v>
      </c>
      <c r="S464" s="458">
        <f t="shared" si="485"/>
        <v>0</v>
      </c>
      <c r="T464" s="458">
        <f t="shared" si="485"/>
        <v>1000000</v>
      </c>
      <c r="U464" s="458"/>
      <c r="V464" s="458"/>
      <c r="W464" s="458"/>
      <c r="X464" s="458"/>
      <c r="Y464" s="458"/>
      <c r="Z464" s="458">
        <f t="shared" ref="Z464:AA464" si="486">SUM(Z459:Z463)</f>
        <v>0</v>
      </c>
      <c r="AA464" s="458">
        <f t="shared" si="486"/>
        <v>1000000</v>
      </c>
      <c r="AB464" s="458"/>
      <c r="AC464" s="458"/>
      <c r="AD464" s="458"/>
      <c r="AE464" s="458"/>
      <c r="AF464" s="458"/>
      <c r="AG464" s="458">
        <f t="shared" ref="AG464:AI464" si="487">SUM(AG459:AG463)</f>
        <v>0</v>
      </c>
      <c r="AH464" s="458">
        <f t="shared" si="487"/>
        <v>1000000</v>
      </c>
      <c r="AI464" s="458">
        <f t="shared" si="487"/>
        <v>1000000</v>
      </c>
      <c r="AJ464" s="770">
        <f>AI464/AH464*100</f>
        <v>100</v>
      </c>
    </row>
    <row r="465" spans="1:36" ht="14">
      <c r="A465" s="40"/>
      <c r="B465" s="40"/>
      <c r="C465" s="124"/>
      <c r="D465" s="124"/>
      <c r="E465" s="124"/>
      <c r="F465" s="451"/>
      <c r="G465" s="41"/>
      <c r="H465" s="66"/>
      <c r="I465" s="41"/>
      <c r="J465" s="126"/>
      <c r="K465" s="204"/>
      <c r="L465" s="205"/>
      <c r="M465" s="205"/>
      <c r="N465" s="205"/>
      <c r="O465" s="205"/>
      <c r="P465" s="205"/>
      <c r="Q465" s="205"/>
      <c r="R465" s="205"/>
      <c r="S465" s="205"/>
      <c r="T465" s="205"/>
      <c r="U465" s="205"/>
      <c r="V465" s="205"/>
      <c r="W465" s="205"/>
      <c r="X465" s="205"/>
      <c r="Y465" s="205"/>
      <c r="Z465" s="205"/>
      <c r="AA465" s="205"/>
      <c r="AB465" s="205"/>
      <c r="AC465" s="205"/>
      <c r="AD465" s="205"/>
      <c r="AE465" s="205"/>
      <c r="AF465" s="205"/>
      <c r="AG465" s="205"/>
      <c r="AH465" s="205"/>
      <c r="AI465" s="205"/>
      <c r="AJ465" s="747"/>
    </row>
    <row r="466" spans="1:36" ht="14">
      <c r="A466" s="40"/>
      <c r="B466" s="40">
        <v>3</v>
      </c>
      <c r="C466" s="124"/>
      <c r="D466" s="124"/>
      <c r="E466" s="124"/>
      <c r="F466" s="451"/>
      <c r="G466" s="935" t="s">
        <v>469</v>
      </c>
      <c r="H466" s="935"/>
      <c r="I466" s="936"/>
      <c r="J466" s="452"/>
      <c r="K466" s="453"/>
      <c r="L466" s="454"/>
      <c r="M466" s="454"/>
      <c r="N466" s="454"/>
      <c r="O466" s="454"/>
      <c r="P466" s="454"/>
      <c r="Q466" s="454"/>
      <c r="R466" s="454"/>
      <c r="S466" s="454"/>
      <c r="T466" s="454"/>
      <c r="U466" s="454"/>
      <c r="V466" s="454"/>
      <c r="W466" s="454"/>
      <c r="X466" s="454"/>
      <c r="Y466" s="454"/>
      <c r="Z466" s="454"/>
      <c r="AA466" s="454"/>
      <c r="AB466" s="454"/>
      <c r="AC466" s="454"/>
      <c r="AD466" s="454"/>
      <c r="AE466" s="454"/>
      <c r="AF466" s="454"/>
      <c r="AG466" s="454"/>
      <c r="AH466" s="454"/>
      <c r="AI466" s="454"/>
      <c r="AJ466" s="769"/>
    </row>
    <row r="467" spans="1:36" ht="14">
      <c r="A467" s="40"/>
      <c r="B467" s="40"/>
      <c r="C467" s="124">
        <v>1</v>
      </c>
      <c r="D467" s="124"/>
      <c r="E467" s="124"/>
      <c r="F467" s="451"/>
      <c r="G467" s="41"/>
      <c r="H467" s="66" t="s">
        <v>35</v>
      </c>
      <c r="I467" s="66"/>
      <c r="J467" s="452"/>
      <c r="K467" s="453"/>
      <c r="L467" s="454"/>
      <c r="M467" s="454"/>
      <c r="N467" s="454"/>
      <c r="O467" s="454"/>
      <c r="P467" s="454"/>
      <c r="Q467" s="454"/>
      <c r="R467" s="454"/>
      <c r="S467" s="454"/>
      <c r="T467" s="454"/>
      <c r="U467" s="454"/>
      <c r="V467" s="454"/>
      <c r="W467" s="454"/>
      <c r="X467" s="454"/>
      <c r="Y467" s="454"/>
      <c r="Z467" s="454"/>
      <c r="AA467" s="454"/>
      <c r="AB467" s="454"/>
      <c r="AC467" s="454"/>
      <c r="AD467" s="454"/>
      <c r="AE467" s="454"/>
      <c r="AF467" s="454"/>
      <c r="AG467" s="454"/>
      <c r="AH467" s="454"/>
      <c r="AI467" s="454"/>
      <c r="AJ467" s="769"/>
    </row>
    <row r="468" spans="1:36" ht="14">
      <c r="A468" s="40"/>
      <c r="B468" s="40"/>
      <c r="C468" s="124"/>
      <c r="D468" s="124">
        <v>5</v>
      </c>
      <c r="E468" s="124" t="s">
        <v>199</v>
      </c>
      <c r="F468" s="451"/>
      <c r="G468" s="41"/>
      <c r="H468" s="66"/>
      <c r="I468" s="162" t="s">
        <v>185</v>
      </c>
      <c r="J468" s="452">
        <v>3000000</v>
      </c>
      <c r="K468" s="453"/>
      <c r="L468" s="217">
        <f>SUM(J468:K468)</f>
        <v>3000000</v>
      </c>
      <c r="M468" s="217"/>
      <c r="N468" s="217"/>
      <c r="O468" s="217"/>
      <c r="P468" s="217"/>
      <c r="Q468" s="217"/>
      <c r="R468" s="217"/>
      <c r="S468" s="217">
        <f t="shared" ref="S468" si="488">SUM(M468:R468)</f>
        <v>0</v>
      </c>
      <c r="T468" s="217">
        <f t="shared" ref="T468" si="489">S468+L468</f>
        <v>3000000</v>
      </c>
      <c r="U468" s="217"/>
      <c r="V468" s="217"/>
      <c r="W468" s="217"/>
      <c r="X468" s="217"/>
      <c r="Y468" s="217"/>
      <c r="Z468" s="217">
        <f>SUM(U468:Y468)</f>
        <v>0</v>
      </c>
      <c r="AA468" s="217">
        <f>Z468+T468</f>
        <v>3000000</v>
      </c>
      <c r="AB468" s="217"/>
      <c r="AC468" s="217"/>
      <c r="AD468" s="217"/>
      <c r="AE468" s="217"/>
      <c r="AF468" s="217"/>
      <c r="AG468" s="217">
        <f t="shared" ref="AG468" si="490">SUM(AB468:AF468)</f>
        <v>0</v>
      </c>
      <c r="AH468" s="217">
        <f t="shared" ref="AH468" si="491">AG468+AA468</f>
        <v>3000000</v>
      </c>
      <c r="AI468" s="217">
        <v>3000000</v>
      </c>
      <c r="AJ468" s="764">
        <f>AI468/AH468*100</f>
        <v>100</v>
      </c>
    </row>
    <row r="469" spans="1:36" ht="14">
      <c r="A469" s="40"/>
      <c r="B469" s="40"/>
      <c r="C469" s="124"/>
      <c r="D469" s="124"/>
      <c r="E469" s="124"/>
      <c r="F469" s="451"/>
      <c r="G469" s="41"/>
      <c r="H469" s="66"/>
      <c r="I469" s="66"/>
      <c r="J469" s="452"/>
      <c r="K469" s="453"/>
      <c r="L469" s="454"/>
      <c r="M469" s="454"/>
      <c r="N469" s="454"/>
      <c r="O469" s="454"/>
      <c r="P469" s="454"/>
      <c r="Q469" s="454"/>
      <c r="R469" s="454"/>
      <c r="S469" s="454"/>
      <c r="T469" s="454"/>
      <c r="U469" s="454"/>
      <c r="V469" s="454"/>
      <c r="W469" s="454"/>
      <c r="X469" s="454"/>
      <c r="Y469" s="454"/>
      <c r="Z469" s="454"/>
      <c r="AA469" s="454"/>
      <c r="AB469" s="454"/>
      <c r="AC469" s="454"/>
      <c r="AD469" s="454"/>
      <c r="AE469" s="454"/>
      <c r="AF469" s="454"/>
      <c r="AG469" s="454"/>
      <c r="AH469" s="454"/>
      <c r="AI469" s="454"/>
      <c r="AJ469" s="769"/>
    </row>
    <row r="470" spans="1:36" ht="14">
      <c r="A470" s="40"/>
      <c r="B470" s="40"/>
      <c r="C470" s="124"/>
      <c r="D470" s="124"/>
      <c r="E470" s="124"/>
      <c r="F470" s="173"/>
      <c r="G470" s="64"/>
      <c r="H470" s="65"/>
      <c r="I470" s="64" t="s">
        <v>38</v>
      </c>
      <c r="J470" s="333">
        <f>SUM(J465:J469)</f>
        <v>3000000</v>
      </c>
      <c r="K470" s="457"/>
      <c r="L470" s="458">
        <f>SUM(L465:L469)</f>
        <v>3000000</v>
      </c>
      <c r="M470" s="458">
        <f t="shared" ref="M470:T470" si="492">SUM(M465:M469)</f>
        <v>0</v>
      </c>
      <c r="N470" s="458">
        <f t="shared" si="492"/>
        <v>0</v>
      </c>
      <c r="O470" s="458">
        <f t="shared" si="492"/>
        <v>0</v>
      </c>
      <c r="P470" s="458">
        <f t="shared" si="492"/>
        <v>0</v>
      </c>
      <c r="Q470" s="458">
        <f t="shared" si="492"/>
        <v>0</v>
      </c>
      <c r="R470" s="458">
        <f t="shared" si="492"/>
        <v>0</v>
      </c>
      <c r="S470" s="458">
        <f t="shared" si="492"/>
        <v>0</v>
      </c>
      <c r="T470" s="458">
        <f t="shared" si="492"/>
        <v>3000000</v>
      </c>
      <c r="U470" s="458"/>
      <c r="V470" s="458"/>
      <c r="W470" s="458"/>
      <c r="X470" s="458"/>
      <c r="Y470" s="458"/>
      <c r="Z470" s="458">
        <f t="shared" ref="Z470:AA470" si="493">SUM(Z465:Z469)</f>
        <v>0</v>
      </c>
      <c r="AA470" s="458">
        <f t="shared" si="493"/>
        <v>3000000</v>
      </c>
      <c r="AB470" s="458"/>
      <c r="AC470" s="458"/>
      <c r="AD470" s="458"/>
      <c r="AE470" s="458"/>
      <c r="AF470" s="458"/>
      <c r="AG470" s="458">
        <f t="shared" ref="AG470:AI470" si="494">SUM(AG465:AG469)</f>
        <v>0</v>
      </c>
      <c r="AH470" s="458">
        <f t="shared" si="494"/>
        <v>3000000</v>
      </c>
      <c r="AI470" s="458">
        <f t="shared" si="494"/>
        <v>3000000</v>
      </c>
      <c r="AJ470" s="770">
        <f>AI470/AH470*100</f>
        <v>100</v>
      </c>
    </row>
    <row r="471" spans="1:36" ht="14">
      <c r="A471" s="40"/>
      <c r="B471" s="40"/>
      <c r="C471" s="124"/>
      <c r="D471" s="124"/>
      <c r="E471" s="124"/>
      <c r="F471" s="451"/>
      <c r="G471" s="41"/>
      <c r="H471" s="66"/>
      <c r="I471" s="41"/>
      <c r="J471" s="126"/>
      <c r="K471" s="204"/>
      <c r="L471" s="205"/>
      <c r="M471" s="205"/>
      <c r="N471" s="205"/>
      <c r="O471" s="205"/>
      <c r="P471" s="205"/>
      <c r="Q471" s="205"/>
      <c r="R471" s="205"/>
      <c r="S471" s="205"/>
      <c r="T471" s="205"/>
      <c r="U471" s="205"/>
      <c r="V471" s="205"/>
      <c r="W471" s="205"/>
      <c r="X471" s="205"/>
      <c r="Y471" s="205"/>
      <c r="Z471" s="205"/>
      <c r="AA471" s="205"/>
      <c r="AB471" s="205"/>
      <c r="AC471" s="205"/>
      <c r="AD471" s="205"/>
      <c r="AE471" s="205"/>
      <c r="AF471" s="205"/>
      <c r="AG471" s="205"/>
      <c r="AH471" s="205"/>
      <c r="AI471" s="205"/>
      <c r="AJ471" s="747"/>
    </row>
    <row r="472" spans="1:36" ht="28.5" customHeight="1">
      <c r="A472" s="40"/>
      <c r="B472" s="40">
        <v>4</v>
      </c>
      <c r="C472" s="124"/>
      <c r="D472" s="124"/>
      <c r="E472" s="124"/>
      <c r="F472" s="451"/>
      <c r="G472" s="935" t="s">
        <v>657</v>
      </c>
      <c r="H472" s="935"/>
      <c r="I472" s="936"/>
      <c r="J472" s="126"/>
      <c r="K472" s="204"/>
      <c r="L472" s="205"/>
      <c r="M472" s="205"/>
      <c r="N472" s="205"/>
      <c r="O472" s="205"/>
      <c r="P472" s="205"/>
      <c r="Q472" s="205"/>
      <c r="R472" s="205"/>
      <c r="S472" s="205"/>
      <c r="T472" s="205"/>
      <c r="U472" s="205"/>
      <c r="V472" s="205"/>
      <c r="W472" s="205"/>
      <c r="X472" s="205"/>
      <c r="Y472" s="205"/>
      <c r="Z472" s="205"/>
      <c r="AA472" s="205"/>
      <c r="AB472" s="205"/>
      <c r="AC472" s="205"/>
      <c r="AD472" s="205"/>
      <c r="AE472" s="205"/>
      <c r="AF472" s="205"/>
      <c r="AG472" s="205"/>
      <c r="AH472" s="205"/>
      <c r="AI472" s="205"/>
      <c r="AJ472" s="747"/>
    </row>
    <row r="473" spans="1:36" ht="14">
      <c r="A473" s="40"/>
      <c r="B473" s="40"/>
      <c r="C473" s="124">
        <v>1</v>
      </c>
      <c r="D473" s="124"/>
      <c r="E473" s="124"/>
      <c r="F473" s="451"/>
      <c r="G473" s="41"/>
      <c r="H473" s="66" t="s">
        <v>35</v>
      </c>
      <c r="I473" s="66"/>
      <c r="J473" s="452"/>
      <c r="K473" s="453"/>
      <c r="L473" s="454"/>
      <c r="M473" s="454"/>
      <c r="N473" s="454"/>
      <c r="O473" s="454"/>
      <c r="P473" s="454"/>
      <c r="Q473" s="454"/>
      <c r="R473" s="454"/>
      <c r="S473" s="454"/>
      <c r="T473" s="454"/>
      <c r="U473" s="454"/>
      <c r="V473" s="454"/>
      <c r="W473" s="454"/>
      <c r="X473" s="454"/>
      <c r="Y473" s="454"/>
      <c r="Z473" s="454"/>
      <c r="AA473" s="454"/>
      <c r="AB473" s="454"/>
      <c r="AC473" s="454"/>
      <c r="AD473" s="454"/>
      <c r="AE473" s="454"/>
      <c r="AF473" s="454"/>
      <c r="AG473" s="454"/>
      <c r="AH473" s="454"/>
      <c r="AI473" s="454"/>
      <c r="AJ473" s="769"/>
    </row>
    <row r="474" spans="1:36" ht="14">
      <c r="A474" s="40"/>
      <c r="B474" s="40"/>
      <c r="C474" s="124"/>
      <c r="D474" s="124">
        <v>5</v>
      </c>
      <c r="E474" s="124" t="s">
        <v>199</v>
      </c>
      <c r="F474" s="451"/>
      <c r="G474" s="41"/>
      <c r="H474" s="66"/>
      <c r="I474" s="162" t="s">
        <v>185</v>
      </c>
      <c r="J474" s="452">
        <v>500000</v>
      </c>
      <c r="K474" s="453"/>
      <c r="L474" s="217">
        <f>SUM(J474:K474)</f>
        <v>500000</v>
      </c>
      <c r="M474" s="217"/>
      <c r="N474" s="217"/>
      <c r="O474" s="217">
        <v>500000</v>
      </c>
      <c r="P474" s="217"/>
      <c r="Q474" s="217"/>
      <c r="R474" s="217"/>
      <c r="S474" s="217">
        <f t="shared" ref="S474" si="495">SUM(M474:R474)</f>
        <v>500000</v>
      </c>
      <c r="T474" s="217">
        <f t="shared" ref="T474" si="496">S474+L474</f>
        <v>1000000</v>
      </c>
      <c r="U474" s="217"/>
      <c r="V474" s="217"/>
      <c r="W474" s="217"/>
      <c r="X474" s="217"/>
      <c r="Y474" s="217"/>
      <c r="Z474" s="217">
        <f>SUM(U474:Y474)</f>
        <v>0</v>
      </c>
      <c r="AA474" s="217">
        <f>Z474+T474</f>
        <v>1000000</v>
      </c>
      <c r="AB474" s="217"/>
      <c r="AC474" s="217"/>
      <c r="AD474" s="217"/>
      <c r="AE474" s="217"/>
      <c r="AF474" s="217"/>
      <c r="AG474" s="217">
        <f t="shared" ref="AG474" si="497">SUM(AB474:AF474)</f>
        <v>0</v>
      </c>
      <c r="AH474" s="217">
        <f t="shared" ref="AH474" si="498">AG474+AA474</f>
        <v>1000000</v>
      </c>
      <c r="AI474" s="217">
        <v>1000000</v>
      </c>
      <c r="AJ474" s="764">
        <f>AI474/AH474*100</f>
        <v>100</v>
      </c>
    </row>
    <row r="475" spans="1:36" ht="14">
      <c r="A475" s="40"/>
      <c r="B475" s="40"/>
      <c r="C475" s="124"/>
      <c r="D475" s="124"/>
      <c r="E475" s="124"/>
      <c r="F475" s="451"/>
      <c r="G475" s="41"/>
      <c r="H475" s="66"/>
      <c r="I475" s="66"/>
      <c r="J475" s="452"/>
      <c r="K475" s="453"/>
      <c r="L475" s="454"/>
      <c r="M475" s="454"/>
      <c r="N475" s="454"/>
      <c r="O475" s="454"/>
      <c r="P475" s="454"/>
      <c r="Q475" s="454"/>
      <c r="R475" s="454"/>
      <c r="S475" s="454"/>
      <c r="T475" s="454"/>
      <c r="U475" s="454"/>
      <c r="V475" s="454"/>
      <c r="W475" s="454"/>
      <c r="X475" s="454"/>
      <c r="Y475" s="454"/>
      <c r="Z475" s="454"/>
      <c r="AA475" s="454"/>
      <c r="AB475" s="454"/>
      <c r="AC475" s="454"/>
      <c r="AD475" s="454"/>
      <c r="AE475" s="454"/>
      <c r="AF475" s="454"/>
      <c r="AG475" s="454"/>
      <c r="AH475" s="454"/>
      <c r="AI475" s="454"/>
      <c r="AJ475" s="769"/>
    </row>
    <row r="476" spans="1:36" ht="14">
      <c r="A476" s="40"/>
      <c r="B476" s="40"/>
      <c r="C476" s="124"/>
      <c r="D476" s="124"/>
      <c r="E476" s="124"/>
      <c r="F476" s="173"/>
      <c r="G476" s="64"/>
      <c r="H476" s="65"/>
      <c r="I476" s="64" t="s">
        <v>38</v>
      </c>
      <c r="J476" s="333">
        <f>SUM(J471:J475)</f>
        <v>500000</v>
      </c>
      <c r="K476" s="457"/>
      <c r="L476" s="458">
        <f>SUM(L471:L475)</f>
        <v>500000</v>
      </c>
      <c r="M476" s="458">
        <f t="shared" ref="M476:T476" si="499">SUM(M471:M475)</f>
        <v>0</v>
      </c>
      <c r="N476" s="458">
        <f t="shared" si="499"/>
        <v>0</v>
      </c>
      <c r="O476" s="458">
        <f t="shared" si="499"/>
        <v>500000</v>
      </c>
      <c r="P476" s="458">
        <f t="shared" si="499"/>
        <v>0</v>
      </c>
      <c r="Q476" s="458">
        <f t="shared" si="499"/>
        <v>0</v>
      </c>
      <c r="R476" s="458">
        <f t="shared" si="499"/>
        <v>0</v>
      </c>
      <c r="S476" s="458">
        <f t="shared" si="499"/>
        <v>500000</v>
      </c>
      <c r="T476" s="458">
        <f t="shared" si="499"/>
        <v>1000000</v>
      </c>
      <c r="U476" s="458"/>
      <c r="V476" s="458"/>
      <c r="W476" s="458"/>
      <c r="X476" s="458"/>
      <c r="Y476" s="458"/>
      <c r="Z476" s="458">
        <f t="shared" ref="Z476:AA476" si="500">SUM(Z471:Z475)</f>
        <v>0</v>
      </c>
      <c r="AA476" s="458">
        <f t="shared" si="500"/>
        <v>1000000</v>
      </c>
      <c r="AB476" s="458"/>
      <c r="AC476" s="458"/>
      <c r="AD476" s="458"/>
      <c r="AE476" s="458"/>
      <c r="AF476" s="458"/>
      <c r="AG476" s="458">
        <f t="shared" ref="AG476:AH476" si="501">SUM(AG471:AG475)</f>
        <v>0</v>
      </c>
      <c r="AH476" s="458">
        <f t="shared" si="501"/>
        <v>1000000</v>
      </c>
      <c r="AI476" s="458">
        <f t="shared" ref="AI476" si="502">SUM(AI471:AI475)</f>
        <v>1000000</v>
      </c>
      <c r="AJ476" s="770">
        <f>AI476/AH476*100</f>
        <v>100</v>
      </c>
    </row>
    <row r="477" spans="1:36" ht="5.5" customHeight="1">
      <c r="A477" s="40"/>
      <c r="B477" s="40"/>
      <c r="C477" s="124"/>
      <c r="D477" s="124"/>
      <c r="E477" s="124"/>
      <c r="F477" s="41"/>
      <c r="G477" s="41"/>
      <c r="H477" s="66"/>
      <c r="I477" s="41"/>
      <c r="J477" s="126"/>
      <c r="K477" s="204"/>
      <c r="L477" s="205"/>
      <c r="M477" s="205"/>
      <c r="N477" s="205"/>
      <c r="O477" s="205"/>
      <c r="P477" s="205"/>
      <c r="Q477" s="205"/>
      <c r="R477" s="205"/>
      <c r="S477" s="205"/>
      <c r="T477" s="205"/>
      <c r="U477" s="205"/>
      <c r="V477" s="205"/>
      <c r="W477" s="205"/>
      <c r="X477" s="205"/>
      <c r="Y477" s="205"/>
      <c r="Z477" s="205"/>
      <c r="AA477" s="205"/>
      <c r="AB477" s="205"/>
      <c r="AC477" s="205"/>
      <c r="AD477" s="205"/>
      <c r="AE477" s="205"/>
      <c r="AF477" s="205"/>
      <c r="AG477" s="205"/>
      <c r="AH477" s="205"/>
      <c r="AI477" s="205"/>
      <c r="AJ477" s="747"/>
    </row>
    <row r="478" spans="1:36" ht="14">
      <c r="A478" s="40"/>
      <c r="B478" s="40"/>
      <c r="C478" s="124"/>
      <c r="D478" s="124"/>
      <c r="E478" s="124"/>
      <c r="F478" s="166"/>
      <c r="G478" s="166"/>
      <c r="H478" s="464"/>
      <c r="I478" s="166" t="s">
        <v>37</v>
      </c>
      <c r="J478" s="460">
        <f>SUM(J454:J476)/2</f>
        <v>5500000</v>
      </c>
      <c r="K478" s="461"/>
      <c r="L478" s="460">
        <f>SUM(L453:L476)/2</f>
        <v>5500000</v>
      </c>
      <c r="M478" s="460">
        <f t="shared" ref="M478:T478" si="503">SUM(M453:M476)/2</f>
        <v>0</v>
      </c>
      <c r="N478" s="460">
        <f t="shared" si="503"/>
        <v>0</v>
      </c>
      <c r="O478" s="460">
        <f t="shared" si="503"/>
        <v>500000</v>
      </c>
      <c r="P478" s="460">
        <f t="shared" si="503"/>
        <v>0</v>
      </c>
      <c r="Q478" s="460">
        <f t="shared" si="503"/>
        <v>0</v>
      </c>
      <c r="R478" s="460">
        <f t="shared" si="503"/>
        <v>0</v>
      </c>
      <c r="S478" s="460">
        <f t="shared" si="503"/>
        <v>500000</v>
      </c>
      <c r="T478" s="460">
        <f t="shared" si="503"/>
        <v>6000000</v>
      </c>
      <c r="U478" s="460"/>
      <c r="V478" s="460"/>
      <c r="W478" s="460"/>
      <c r="X478" s="460"/>
      <c r="Y478" s="460"/>
      <c r="Z478" s="460">
        <f t="shared" ref="Z478:AA478" si="504">SUM(Z453:Z476)/2</f>
        <v>0</v>
      </c>
      <c r="AA478" s="460">
        <f t="shared" si="504"/>
        <v>6000000</v>
      </c>
      <c r="AB478" s="460"/>
      <c r="AC478" s="460"/>
      <c r="AD478" s="460"/>
      <c r="AE478" s="460"/>
      <c r="AF478" s="460"/>
      <c r="AG478" s="460">
        <f t="shared" ref="AG478:AH478" si="505">SUM(AG453:AG476)/2</f>
        <v>0</v>
      </c>
      <c r="AH478" s="460">
        <f t="shared" si="505"/>
        <v>6000000</v>
      </c>
      <c r="AI478" s="460">
        <f t="shared" ref="AI478" si="506">SUM(AI453:AI476)/2</f>
        <v>6000000</v>
      </c>
      <c r="AJ478" s="771">
        <f>AI478/AH478*100</f>
        <v>100</v>
      </c>
    </row>
    <row r="479" spans="1:36" ht="14">
      <c r="A479" s="40"/>
      <c r="B479" s="40"/>
      <c r="C479" s="124"/>
      <c r="D479" s="124"/>
      <c r="E479" s="124"/>
      <c r="F479" s="41"/>
      <c r="G479" s="41"/>
      <c r="H479" s="66"/>
      <c r="I479" s="41"/>
      <c r="J479" s="126"/>
      <c r="K479" s="204"/>
      <c r="L479" s="205"/>
      <c r="M479" s="205"/>
      <c r="N479" s="205"/>
      <c r="O479" s="205"/>
      <c r="P479" s="205"/>
      <c r="Q479" s="205"/>
      <c r="R479" s="205"/>
      <c r="S479" s="205"/>
      <c r="T479" s="205"/>
      <c r="U479" s="205"/>
      <c r="V479" s="205"/>
      <c r="W479" s="205"/>
      <c r="X479" s="205"/>
      <c r="Y479" s="205"/>
      <c r="Z479" s="205"/>
      <c r="AA479" s="205"/>
      <c r="AB479" s="205"/>
      <c r="AC479" s="205"/>
      <c r="AD479" s="205"/>
      <c r="AE479" s="205"/>
      <c r="AF479" s="205"/>
      <c r="AG479" s="205"/>
      <c r="AH479" s="205"/>
      <c r="AI479" s="205"/>
      <c r="AJ479" s="747"/>
    </row>
    <row r="480" spans="1:36" ht="15.75" customHeight="1">
      <c r="A480" s="677">
        <v>14</v>
      </c>
      <c r="B480" s="677"/>
      <c r="C480" s="465"/>
      <c r="D480" s="465"/>
      <c r="E480" s="465"/>
      <c r="F480" s="481" t="s">
        <v>50</v>
      </c>
      <c r="G480" s="481"/>
      <c r="H480" s="125"/>
      <c r="I480" s="66"/>
      <c r="J480" s="452"/>
      <c r="K480" s="453"/>
      <c r="L480" s="454"/>
      <c r="M480" s="454"/>
      <c r="N480" s="454"/>
      <c r="O480" s="454"/>
      <c r="P480" s="454"/>
      <c r="Q480" s="454"/>
      <c r="R480" s="454"/>
      <c r="S480" s="454"/>
      <c r="T480" s="454"/>
      <c r="U480" s="454"/>
      <c r="V480" s="454"/>
      <c r="W480" s="454"/>
      <c r="X480" s="454"/>
      <c r="Y480" s="454"/>
      <c r="Z480" s="454"/>
      <c r="AA480" s="454"/>
      <c r="AB480" s="454"/>
      <c r="AC480" s="454"/>
      <c r="AD480" s="454"/>
      <c r="AE480" s="454"/>
      <c r="AF480" s="454"/>
      <c r="AG480" s="454"/>
      <c r="AH480" s="454"/>
      <c r="AI480" s="454"/>
      <c r="AJ480" s="769"/>
    </row>
    <row r="481" spans="1:36" ht="14.5" customHeight="1">
      <c r="A481" s="40"/>
      <c r="B481" s="40">
        <v>1</v>
      </c>
      <c r="C481" s="124"/>
      <c r="D481" s="124"/>
      <c r="E481" s="124"/>
      <c r="F481" s="451"/>
      <c r="G481" s="459" t="s">
        <v>446</v>
      </c>
      <c r="H481" s="66"/>
      <c r="I481" s="66"/>
      <c r="J481" s="452"/>
      <c r="K481" s="453"/>
      <c r="L481" s="454"/>
      <c r="M481" s="454"/>
      <c r="N481" s="454"/>
      <c r="O481" s="454"/>
      <c r="P481" s="454"/>
      <c r="Q481" s="454"/>
      <c r="R481" s="454"/>
      <c r="S481" s="454"/>
      <c r="T481" s="454"/>
      <c r="U481" s="454"/>
      <c r="V481" s="454"/>
      <c r="W481" s="454"/>
      <c r="X481" s="454"/>
      <c r="Y481" s="454"/>
      <c r="Z481" s="454"/>
      <c r="AA481" s="454"/>
      <c r="AB481" s="454"/>
      <c r="AC481" s="454"/>
      <c r="AD481" s="454"/>
      <c r="AE481" s="454"/>
      <c r="AF481" s="454"/>
      <c r="AG481" s="454"/>
      <c r="AH481" s="454"/>
      <c r="AI481" s="454"/>
      <c r="AJ481" s="769"/>
    </row>
    <row r="482" spans="1:36" ht="14.5" customHeight="1">
      <c r="A482" s="40"/>
      <c r="B482" s="40"/>
      <c r="C482" s="124">
        <v>1</v>
      </c>
      <c r="D482" s="124"/>
      <c r="E482" s="124"/>
      <c r="F482" s="451"/>
      <c r="G482" s="41"/>
      <c r="H482" s="66" t="s">
        <v>35</v>
      </c>
      <c r="I482" s="66"/>
      <c r="J482" s="452">
        <v>950000</v>
      </c>
      <c r="K482" s="453"/>
      <c r="L482" s="217"/>
      <c r="M482" s="217"/>
      <c r="N482" s="217"/>
      <c r="O482" s="217"/>
      <c r="P482" s="217"/>
      <c r="Q482" s="217"/>
      <c r="R482" s="217"/>
      <c r="S482" s="217"/>
      <c r="T482" s="217"/>
      <c r="U482" s="217"/>
      <c r="V482" s="217"/>
      <c r="W482" s="217"/>
      <c r="X482" s="217"/>
      <c r="Y482" s="217"/>
      <c r="Z482" s="217"/>
      <c r="AA482" s="217"/>
      <c r="AB482" s="217"/>
      <c r="AC482" s="217"/>
      <c r="AD482" s="217"/>
      <c r="AE482" s="217"/>
      <c r="AF482" s="217"/>
      <c r="AG482" s="217"/>
      <c r="AH482" s="217"/>
      <c r="AI482" s="217"/>
      <c r="AJ482" s="764"/>
    </row>
    <row r="483" spans="1:36" ht="14.5" customHeight="1">
      <c r="A483" s="40"/>
      <c r="B483" s="40"/>
      <c r="C483" s="124"/>
      <c r="D483" s="124">
        <v>5</v>
      </c>
      <c r="E483" s="124" t="s">
        <v>198</v>
      </c>
      <c r="F483" s="451"/>
      <c r="G483" s="41"/>
      <c r="H483" s="66"/>
      <c r="I483" s="162" t="s">
        <v>185</v>
      </c>
      <c r="J483" s="452"/>
      <c r="K483" s="453"/>
      <c r="L483" s="217">
        <v>950000</v>
      </c>
      <c r="M483" s="217"/>
      <c r="N483" s="217"/>
      <c r="O483" s="217"/>
      <c r="P483" s="217"/>
      <c r="Q483" s="217"/>
      <c r="R483" s="217"/>
      <c r="S483" s="217">
        <f t="shared" ref="S483" si="507">SUM(M483:R483)</f>
        <v>0</v>
      </c>
      <c r="T483" s="217">
        <f t="shared" ref="T483" si="508">S483+L483</f>
        <v>950000</v>
      </c>
      <c r="U483" s="217"/>
      <c r="V483" s="217"/>
      <c r="W483" s="217"/>
      <c r="X483" s="217"/>
      <c r="Y483" s="217"/>
      <c r="Z483" s="217">
        <f>SUM(U483:Y483)</f>
        <v>0</v>
      </c>
      <c r="AA483" s="217">
        <f>Z483+T483</f>
        <v>950000</v>
      </c>
      <c r="AB483" s="217"/>
      <c r="AC483" s="217"/>
      <c r="AD483" s="217"/>
      <c r="AE483" s="217"/>
      <c r="AF483" s="217"/>
      <c r="AG483" s="217">
        <f t="shared" ref="AG483" si="509">SUM(AB483:AF483)</f>
        <v>0</v>
      </c>
      <c r="AH483" s="217">
        <f t="shared" ref="AH483" si="510">AG483+AA483</f>
        <v>950000</v>
      </c>
      <c r="AI483" s="217">
        <v>950000</v>
      </c>
      <c r="AJ483" s="764">
        <f>AI483/AH483*100</f>
        <v>100</v>
      </c>
    </row>
    <row r="484" spans="1:36" ht="14">
      <c r="A484" s="40"/>
      <c r="B484" s="40"/>
      <c r="C484" s="124"/>
      <c r="D484" s="124"/>
      <c r="E484" s="124"/>
      <c r="F484" s="451"/>
      <c r="G484" s="41"/>
      <c r="H484" s="66"/>
      <c r="I484" s="66"/>
      <c r="J484" s="452"/>
      <c r="K484" s="453"/>
      <c r="L484" s="454"/>
      <c r="M484" s="454"/>
      <c r="N484" s="454"/>
      <c r="O484" s="454"/>
      <c r="P484" s="454"/>
      <c r="Q484" s="454"/>
      <c r="R484" s="454"/>
      <c r="S484" s="454"/>
      <c r="T484" s="454"/>
      <c r="U484" s="454"/>
      <c r="V484" s="454"/>
      <c r="W484" s="454"/>
      <c r="X484" s="454"/>
      <c r="Y484" s="454"/>
      <c r="Z484" s="454"/>
      <c r="AA484" s="454"/>
      <c r="AB484" s="454"/>
      <c r="AC484" s="454"/>
      <c r="AD484" s="454"/>
      <c r="AE484" s="454"/>
      <c r="AF484" s="454"/>
      <c r="AG484" s="454"/>
      <c r="AH484" s="454"/>
      <c r="AI484" s="454"/>
      <c r="AJ484" s="769"/>
    </row>
    <row r="485" spans="1:36" ht="14.5" customHeight="1">
      <c r="A485" s="40"/>
      <c r="B485" s="40"/>
      <c r="C485" s="124"/>
      <c r="D485" s="124"/>
      <c r="E485" s="124"/>
      <c r="F485" s="173"/>
      <c r="G485" s="64"/>
      <c r="H485" s="65"/>
      <c r="I485" s="64" t="s">
        <v>38</v>
      </c>
      <c r="J485" s="333">
        <f>SUM(J481:J484)</f>
        <v>950000</v>
      </c>
      <c r="K485" s="457"/>
      <c r="L485" s="458">
        <f>SUM(L481:L484)</f>
        <v>950000</v>
      </c>
      <c r="M485" s="458">
        <f t="shared" ref="M485:T485" si="511">SUM(M481:M484)</f>
        <v>0</v>
      </c>
      <c r="N485" s="458">
        <f t="shared" si="511"/>
        <v>0</v>
      </c>
      <c r="O485" s="458">
        <f t="shared" si="511"/>
        <v>0</v>
      </c>
      <c r="P485" s="458">
        <f t="shared" si="511"/>
        <v>0</v>
      </c>
      <c r="Q485" s="458">
        <f t="shared" si="511"/>
        <v>0</v>
      </c>
      <c r="R485" s="458">
        <f t="shared" si="511"/>
        <v>0</v>
      </c>
      <c r="S485" s="458">
        <f t="shared" si="511"/>
        <v>0</v>
      </c>
      <c r="T485" s="458">
        <f t="shared" si="511"/>
        <v>950000</v>
      </c>
      <c r="U485" s="458"/>
      <c r="V485" s="458"/>
      <c r="W485" s="458"/>
      <c r="X485" s="458"/>
      <c r="Y485" s="458"/>
      <c r="Z485" s="458">
        <f t="shared" ref="Z485:AA485" si="512">SUM(Z481:Z484)</f>
        <v>0</v>
      </c>
      <c r="AA485" s="458">
        <f t="shared" si="512"/>
        <v>950000</v>
      </c>
      <c r="AB485" s="458"/>
      <c r="AC485" s="458"/>
      <c r="AD485" s="458"/>
      <c r="AE485" s="458"/>
      <c r="AF485" s="458"/>
      <c r="AG485" s="458">
        <f t="shared" ref="AG485:AI485" si="513">SUM(AG481:AG484)</f>
        <v>0</v>
      </c>
      <c r="AH485" s="458">
        <f t="shared" si="513"/>
        <v>950000</v>
      </c>
      <c r="AI485" s="458">
        <f t="shared" si="513"/>
        <v>950000</v>
      </c>
      <c r="AJ485" s="770">
        <f>AI485/AH485*100</f>
        <v>100</v>
      </c>
    </row>
    <row r="486" spans="1:36" ht="7.5" customHeight="1">
      <c r="A486" s="40"/>
      <c r="B486" s="40"/>
      <c r="C486" s="124"/>
      <c r="D486" s="124"/>
      <c r="E486" s="124"/>
      <c r="F486" s="451"/>
      <c r="G486" s="41"/>
      <c r="H486" s="66"/>
      <c r="I486" s="41"/>
      <c r="J486" s="126"/>
      <c r="K486" s="204"/>
      <c r="L486" s="205"/>
      <c r="M486" s="205"/>
      <c r="N486" s="205"/>
      <c r="O486" s="205"/>
      <c r="P486" s="205"/>
      <c r="Q486" s="205"/>
      <c r="R486" s="205"/>
      <c r="S486" s="205"/>
      <c r="T486" s="205"/>
      <c r="U486" s="205"/>
      <c r="V486" s="205"/>
      <c r="W486" s="205"/>
      <c r="X486" s="205"/>
      <c r="Y486" s="205"/>
      <c r="Z486" s="205"/>
      <c r="AA486" s="205"/>
      <c r="AB486" s="205"/>
      <c r="AC486" s="205"/>
      <c r="AD486" s="205"/>
      <c r="AE486" s="205"/>
      <c r="AF486" s="205"/>
      <c r="AG486" s="205"/>
      <c r="AH486" s="205"/>
      <c r="AI486" s="205"/>
      <c r="AJ486" s="747"/>
    </row>
    <row r="487" spans="1:36" ht="14.5" customHeight="1">
      <c r="A487" s="40"/>
      <c r="B487" s="40">
        <v>2</v>
      </c>
      <c r="C487" s="124"/>
      <c r="D487" s="124"/>
      <c r="E487" s="124"/>
      <c r="F487" s="451"/>
      <c r="G487" s="459" t="s">
        <v>447</v>
      </c>
      <c r="H487" s="66"/>
      <c r="I487" s="66"/>
      <c r="J487" s="452"/>
      <c r="K487" s="453"/>
      <c r="L487" s="454"/>
      <c r="M487" s="454"/>
      <c r="N487" s="454"/>
      <c r="O487" s="454"/>
      <c r="P487" s="454"/>
      <c r="Q487" s="454"/>
      <c r="R487" s="454"/>
      <c r="S487" s="454"/>
      <c r="T487" s="454"/>
      <c r="U487" s="454"/>
      <c r="V487" s="454"/>
      <c r="W487" s="454"/>
      <c r="X487" s="454"/>
      <c r="Y487" s="454"/>
      <c r="Z487" s="454"/>
      <c r="AA487" s="454"/>
      <c r="AB487" s="454"/>
      <c r="AC487" s="454"/>
      <c r="AD487" s="454"/>
      <c r="AE487" s="454"/>
      <c r="AF487" s="454"/>
      <c r="AG487" s="454"/>
      <c r="AH487" s="454"/>
      <c r="AI487" s="454"/>
      <c r="AJ487" s="769"/>
    </row>
    <row r="488" spans="1:36" ht="14.5" customHeight="1">
      <c r="A488" s="40"/>
      <c r="B488" s="40"/>
      <c r="C488" s="124">
        <v>1</v>
      </c>
      <c r="D488" s="124"/>
      <c r="E488" s="124"/>
      <c r="F488" s="451"/>
      <c r="G488" s="41"/>
      <c r="H488" s="66" t="s">
        <v>35</v>
      </c>
      <c r="I488" s="66"/>
      <c r="J488" s="452"/>
      <c r="K488" s="453"/>
      <c r="L488" s="454"/>
      <c r="M488" s="454"/>
      <c r="N488" s="454"/>
      <c r="O488" s="454"/>
      <c r="P488" s="454"/>
      <c r="Q488" s="454"/>
      <c r="R488" s="454"/>
      <c r="S488" s="454"/>
      <c r="T488" s="454"/>
      <c r="U488" s="454"/>
      <c r="V488" s="454"/>
      <c r="W488" s="454"/>
      <c r="X488" s="454"/>
      <c r="Y488" s="454"/>
      <c r="Z488" s="454"/>
      <c r="AA488" s="454"/>
      <c r="AB488" s="454"/>
      <c r="AC488" s="454"/>
      <c r="AD488" s="454"/>
      <c r="AE488" s="454"/>
      <c r="AF488" s="454"/>
      <c r="AG488" s="454"/>
      <c r="AH488" s="454"/>
      <c r="AI488" s="454"/>
      <c r="AJ488" s="769"/>
    </row>
    <row r="489" spans="1:36" ht="14.5" customHeight="1">
      <c r="A489" s="40"/>
      <c r="B489" s="40"/>
      <c r="C489" s="124"/>
      <c r="D489" s="124">
        <v>5</v>
      </c>
      <c r="E489" s="124" t="s">
        <v>198</v>
      </c>
      <c r="F489" s="451"/>
      <c r="G489" s="41"/>
      <c r="H489" s="66"/>
      <c r="I489" s="66" t="s">
        <v>185</v>
      </c>
      <c r="J489" s="452">
        <v>18200000</v>
      </c>
      <c r="K489" s="453"/>
      <c r="L489" s="217">
        <f>SUM(J489:K489)</f>
        <v>18200000</v>
      </c>
      <c r="M489" s="217"/>
      <c r="N489" s="217"/>
      <c r="O489" s="217"/>
      <c r="P489" s="217"/>
      <c r="Q489" s="217"/>
      <c r="R489" s="217"/>
      <c r="S489" s="217">
        <f t="shared" ref="S489" si="514">SUM(M489:R489)</f>
        <v>0</v>
      </c>
      <c r="T489" s="217">
        <f t="shared" ref="T489" si="515">S489+L489</f>
        <v>18200000</v>
      </c>
      <c r="U489" s="217"/>
      <c r="V489" s="217"/>
      <c r="W489" s="217"/>
      <c r="X489" s="217"/>
      <c r="Y489" s="217"/>
      <c r="Z489" s="217">
        <f>SUM(U489:Y489)</f>
        <v>0</v>
      </c>
      <c r="AA489" s="217">
        <f>Z489+T489</f>
        <v>18200000</v>
      </c>
      <c r="AB489" s="217"/>
      <c r="AC489" s="217"/>
      <c r="AD489" s="217"/>
      <c r="AE489" s="217"/>
      <c r="AF489" s="217"/>
      <c r="AG489" s="217">
        <f t="shared" ref="AG489" si="516">SUM(AB489:AF489)</f>
        <v>0</v>
      </c>
      <c r="AH489" s="217">
        <f t="shared" ref="AH489" si="517">AG489+AA489</f>
        <v>18200000</v>
      </c>
      <c r="AI489" s="217">
        <v>18200000</v>
      </c>
      <c r="AJ489" s="764">
        <f>AI489/AH489*100</f>
        <v>100</v>
      </c>
    </row>
    <row r="490" spans="1:36" ht="14.5" customHeight="1">
      <c r="A490" s="40"/>
      <c r="B490" s="40"/>
      <c r="C490" s="124"/>
      <c r="D490" s="124"/>
      <c r="E490" s="124"/>
      <c r="F490" s="451"/>
      <c r="G490" s="41"/>
      <c r="H490" s="66"/>
      <c r="I490" s="66"/>
      <c r="J490" s="452"/>
      <c r="K490" s="453"/>
      <c r="L490" s="454"/>
      <c r="M490" s="454"/>
      <c r="N490" s="454"/>
      <c r="O490" s="454"/>
      <c r="P490" s="454"/>
      <c r="Q490" s="454"/>
      <c r="R490" s="454"/>
      <c r="S490" s="454"/>
      <c r="T490" s="454"/>
      <c r="U490" s="454"/>
      <c r="V490" s="454"/>
      <c r="W490" s="454"/>
      <c r="X490" s="454"/>
      <c r="Y490" s="454"/>
      <c r="Z490" s="454"/>
      <c r="AA490" s="454"/>
      <c r="AB490" s="454"/>
      <c r="AC490" s="454"/>
      <c r="AD490" s="454"/>
      <c r="AE490" s="454"/>
      <c r="AF490" s="454"/>
      <c r="AG490" s="454"/>
      <c r="AH490" s="454"/>
      <c r="AI490" s="454"/>
      <c r="AJ490" s="769"/>
    </row>
    <row r="491" spans="1:36" ht="14.5" customHeight="1">
      <c r="A491" s="40"/>
      <c r="B491" s="40"/>
      <c r="C491" s="124"/>
      <c r="D491" s="124"/>
      <c r="E491" s="124"/>
      <c r="F491" s="173"/>
      <c r="G491" s="64"/>
      <c r="H491" s="65"/>
      <c r="I491" s="64" t="s">
        <v>38</v>
      </c>
      <c r="J491" s="333">
        <f>SUM(J486:J490)</f>
        <v>18200000</v>
      </c>
      <c r="K491" s="457"/>
      <c r="L491" s="458">
        <f>SUM(L486:L490)</f>
        <v>18200000</v>
      </c>
      <c r="M491" s="458">
        <f t="shared" ref="M491:T491" si="518">SUM(M486:M490)</f>
        <v>0</v>
      </c>
      <c r="N491" s="458">
        <f t="shared" si="518"/>
        <v>0</v>
      </c>
      <c r="O491" s="458">
        <f t="shared" si="518"/>
        <v>0</v>
      </c>
      <c r="P491" s="458">
        <f t="shared" si="518"/>
        <v>0</v>
      </c>
      <c r="Q491" s="458">
        <f t="shared" si="518"/>
        <v>0</v>
      </c>
      <c r="R491" s="458">
        <f t="shared" si="518"/>
        <v>0</v>
      </c>
      <c r="S491" s="458">
        <f t="shared" si="518"/>
        <v>0</v>
      </c>
      <c r="T491" s="458">
        <f t="shared" si="518"/>
        <v>18200000</v>
      </c>
      <c r="U491" s="458"/>
      <c r="V491" s="458"/>
      <c r="W491" s="458"/>
      <c r="X491" s="458"/>
      <c r="Y491" s="458"/>
      <c r="Z491" s="458">
        <f t="shared" ref="Z491:AA491" si="519">SUM(Z486:Z490)</f>
        <v>0</v>
      </c>
      <c r="AA491" s="458">
        <f t="shared" si="519"/>
        <v>18200000</v>
      </c>
      <c r="AB491" s="458"/>
      <c r="AC491" s="458"/>
      <c r="AD491" s="458"/>
      <c r="AE491" s="458"/>
      <c r="AF491" s="458"/>
      <c r="AG491" s="458">
        <f t="shared" ref="AG491:AI491" si="520">SUM(AG486:AG490)</f>
        <v>0</v>
      </c>
      <c r="AH491" s="458">
        <f t="shared" si="520"/>
        <v>18200000</v>
      </c>
      <c r="AI491" s="458">
        <f t="shared" si="520"/>
        <v>18200000</v>
      </c>
      <c r="AJ491" s="770">
        <f>AI491/AH491*100</f>
        <v>100</v>
      </c>
    </row>
    <row r="492" spans="1:36" ht="14">
      <c r="A492" s="40"/>
      <c r="B492" s="40"/>
      <c r="C492" s="124"/>
      <c r="D492" s="124"/>
      <c r="E492" s="124"/>
      <c r="F492" s="41"/>
      <c r="G492" s="41"/>
      <c r="H492" s="66"/>
      <c r="I492" s="66"/>
      <c r="J492" s="452"/>
      <c r="K492" s="453"/>
      <c r="L492" s="454"/>
      <c r="M492" s="454"/>
      <c r="N492" s="454"/>
      <c r="O492" s="454"/>
      <c r="P492" s="454"/>
      <c r="Q492" s="454"/>
      <c r="R492" s="454"/>
      <c r="S492" s="454"/>
      <c r="T492" s="454"/>
      <c r="U492" s="454"/>
      <c r="V492" s="454"/>
      <c r="W492" s="454"/>
      <c r="X492" s="454"/>
      <c r="Y492" s="454"/>
      <c r="Z492" s="454"/>
      <c r="AA492" s="454"/>
      <c r="AB492" s="454"/>
      <c r="AC492" s="454"/>
      <c r="AD492" s="454"/>
      <c r="AE492" s="454"/>
      <c r="AF492" s="454"/>
      <c r="AG492" s="454"/>
      <c r="AH492" s="454"/>
      <c r="AI492" s="454"/>
      <c r="AJ492" s="769"/>
    </row>
    <row r="493" spans="1:36" ht="15.75" customHeight="1">
      <c r="A493" s="40"/>
      <c r="B493" s="40">
        <v>3</v>
      </c>
      <c r="C493" s="124"/>
      <c r="D493" s="124"/>
      <c r="E493" s="124"/>
      <c r="F493" s="451"/>
      <c r="G493" s="459" t="s">
        <v>111</v>
      </c>
      <c r="H493" s="66"/>
      <c r="I493" s="66"/>
      <c r="J493" s="452"/>
      <c r="K493" s="453"/>
      <c r="L493" s="454"/>
      <c r="M493" s="454"/>
      <c r="N493" s="454"/>
      <c r="O493" s="454"/>
      <c r="P493" s="454"/>
      <c r="Q493" s="454"/>
      <c r="R493" s="454"/>
      <c r="S493" s="454"/>
      <c r="T493" s="454"/>
      <c r="U493" s="454"/>
      <c r="V493" s="454"/>
      <c r="W493" s="454"/>
      <c r="X493" s="454"/>
      <c r="Y493" s="454"/>
      <c r="Z493" s="454"/>
      <c r="AA493" s="454"/>
      <c r="AB493" s="454"/>
      <c r="AC493" s="454"/>
      <c r="AD493" s="454"/>
      <c r="AE493" s="454"/>
      <c r="AF493" s="454"/>
      <c r="AG493" s="454"/>
      <c r="AH493" s="454"/>
      <c r="AI493" s="454"/>
      <c r="AJ493" s="769"/>
    </row>
    <row r="494" spans="1:36" ht="15.75" customHeight="1">
      <c r="A494" s="40"/>
      <c r="B494" s="40"/>
      <c r="C494" s="124">
        <v>1</v>
      </c>
      <c r="D494" s="124"/>
      <c r="E494" s="124"/>
      <c r="F494" s="451"/>
      <c r="G494" s="41"/>
      <c r="H494" s="66" t="s">
        <v>35</v>
      </c>
      <c r="I494" s="66"/>
      <c r="J494" s="452"/>
      <c r="K494" s="453"/>
      <c r="L494" s="454"/>
      <c r="M494" s="454"/>
      <c r="N494" s="454"/>
      <c r="O494" s="454"/>
      <c r="P494" s="454"/>
      <c r="Q494" s="454"/>
      <c r="R494" s="454"/>
      <c r="S494" s="454"/>
      <c r="T494" s="454"/>
      <c r="U494" s="454"/>
      <c r="V494" s="454"/>
      <c r="W494" s="454"/>
      <c r="X494" s="454"/>
      <c r="Y494" s="454"/>
      <c r="Z494" s="454"/>
      <c r="AA494" s="454"/>
      <c r="AB494" s="454"/>
      <c r="AC494" s="454"/>
      <c r="AD494" s="454"/>
      <c r="AE494" s="454"/>
      <c r="AF494" s="454"/>
      <c r="AG494" s="454"/>
      <c r="AH494" s="454"/>
      <c r="AI494" s="454"/>
      <c r="AJ494" s="769"/>
    </row>
    <row r="495" spans="1:36" ht="15.75" customHeight="1">
      <c r="A495" s="40"/>
      <c r="B495" s="40"/>
      <c r="C495" s="124"/>
      <c r="D495" s="124">
        <v>5</v>
      </c>
      <c r="E495" s="124" t="s">
        <v>198</v>
      </c>
      <c r="F495" s="451"/>
      <c r="G495" s="41"/>
      <c r="H495" s="66"/>
      <c r="I495" s="66" t="s">
        <v>185</v>
      </c>
      <c r="J495" s="452">
        <v>4500000</v>
      </c>
      <c r="K495" s="453"/>
      <c r="L495" s="217">
        <f>SUM(J495:K495)</f>
        <v>4500000</v>
      </c>
      <c r="M495" s="217"/>
      <c r="N495" s="217"/>
      <c r="O495" s="217"/>
      <c r="P495" s="217"/>
      <c r="Q495" s="217"/>
      <c r="R495" s="217"/>
      <c r="S495" s="217">
        <f t="shared" ref="S495" si="521">SUM(M495:R495)</f>
        <v>0</v>
      </c>
      <c r="T495" s="217">
        <f t="shared" ref="T495" si="522">S495+L495</f>
        <v>4500000</v>
      </c>
      <c r="U495" s="217"/>
      <c r="V495" s="217"/>
      <c r="W495" s="217"/>
      <c r="X495" s="217"/>
      <c r="Y495" s="217"/>
      <c r="Z495" s="217">
        <f>SUM(U495:Y495)</f>
        <v>0</v>
      </c>
      <c r="AA495" s="217">
        <f>Z495+T495</f>
        <v>4500000</v>
      </c>
      <c r="AB495" s="217"/>
      <c r="AC495" s="217"/>
      <c r="AD495" s="217"/>
      <c r="AE495" s="217"/>
      <c r="AF495" s="217"/>
      <c r="AG495" s="217">
        <f t="shared" ref="AG495" si="523">SUM(AB495:AF495)</f>
        <v>0</v>
      </c>
      <c r="AH495" s="217">
        <f t="shared" ref="AH495" si="524">AG495+AA495</f>
        <v>4500000</v>
      </c>
      <c r="AI495" s="217">
        <v>4500000</v>
      </c>
      <c r="AJ495" s="764">
        <f>AI495/AH495*100</f>
        <v>100</v>
      </c>
    </row>
    <row r="496" spans="1:36" ht="15.75" customHeight="1">
      <c r="A496" s="40"/>
      <c r="B496" s="40"/>
      <c r="C496" s="124"/>
      <c r="D496" s="124"/>
      <c r="E496" s="124"/>
      <c r="F496" s="451"/>
      <c r="G496" s="41"/>
      <c r="H496" s="66"/>
      <c r="I496" s="66"/>
      <c r="J496" s="452"/>
      <c r="K496" s="453"/>
      <c r="L496" s="454"/>
      <c r="M496" s="454"/>
      <c r="N496" s="454"/>
      <c r="O496" s="454"/>
      <c r="P496" s="454"/>
      <c r="Q496" s="454"/>
      <c r="R496" s="454"/>
      <c r="S496" s="454"/>
      <c r="T496" s="454"/>
      <c r="U496" s="454"/>
      <c r="V496" s="454"/>
      <c r="W496" s="454"/>
      <c r="X496" s="454"/>
      <c r="Y496" s="454"/>
      <c r="Z496" s="454"/>
      <c r="AA496" s="454"/>
      <c r="AB496" s="454"/>
      <c r="AC496" s="454"/>
      <c r="AD496" s="454"/>
      <c r="AE496" s="454"/>
      <c r="AF496" s="454"/>
      <c r="AG496" s="454"/>
      <c r="AH496" s="454"/>
      <c r="AI496" s="454"/>
      <c r="AJ496" s="769"/>
    </row>
    <row r="497" spans="1:36" ht="15.75" customHeight="1">
      <c r="A497" s="40"/>
      <c r="B497" s="40"/>
      <c r="C497" s="124"/>
      <c r="D497" s="124"/>
      <c r="E497" s="124"/>
      <c r="F497" s="173"/>
      <c r="G497" s="64"/>
      <c r="H497" s="65"/>
      <c r="I497" s="64" t="s">
        <v>38</v>
      </c>
      <c r="J497" s="333">
        <f>SUM(J492:J496)</f>
        <v>4500000</v>
      </c>
      <c r="K497" s="457"/>
      <c r="L497" s="458">
        <f>SUM(L492:L496)</f>
        <v>4500000</v>
      </c>
      <c r="M497" s="458">
        <f t="shared" ref="M497:T497" si="525">SUM(M492:M496)</f>
        <v>0</v>
      </c>
      <c r="N497" s="458">
        <f t="shared" si="525"/>
        <v>0</v>
      </c>
      <c r="O497" s="458">
        <f t="shared" si="525"/>
        <v>0</v>
      </c>
      <c r="P497" s="458">
        <f t="shared" si="525"/>
        <v>0</v>
      </c>
      <c r="Q497" s="458">
        <f t="shared" si="525"/>
        <v>0</v>
      </c>
      <c r="R497" s="458">
        <f t="shared" si="525"/>
        <v>0</v>
      </c>
      <c r="S497" s="458">
        <f t="shared" si="525"/>
        <v>0</v>
      </c>
      <c r="T497" s="458">
        <f t="shared" si="525"/>
        <v>4500000</v>
      </c>
      <c r="U497" s="458"/>
      <c r="V497" s="458"/>
      <c r="W497" s="458"/>
      <c r="X497" s="458"/>
      <c r="Y497" s="458"/>
      <c r="Z497" s="458">
        <f t="shared" ref="Z497:AA497" si="526">SUM(Z492:Z496)</f>
        <v>0</v>
      </c>
      <c r="AA497" s="458">
        <f t="shared" si="526"/>
        <v>4500000</v>
      </c>
      <c r="AB497" s="458"/>
      <c r="AC497" s="458"/>
      <c r="AD497" s="458"/>
      <c r="AE497" s="458"/>
      <c r="AF497" s="458"/>
      <c r="AG497" s="458">
        <f t="shared" ref="AG497:AI497" si="527">SUM(AG492:AG496)</f>
        <v>0</v>
      </c>
      <c r="AH497" s="458">
        <f t="shared" si="527"/>
        <v>4500000</v>
      </c>
      <c r="AI497" s="458">
        <f t="shared" si="527"/>
        <v>4500000</v>
      </c>
      <c r="AJ497" s="770">
        <f>AI497/AH497*100</f>
        <v>100</v>
      </c>
    </row>
    <row r="498" spans="1:36" ht="6.5" customHeight="1">
      <c r="A498" s="40"/>
      <c r="B498" s="40"/>
      <c r="C498" s="124"/>
      <c r="D498" s="124"/>
      <c r="E498" s="124"/>
      <c r="F498" s="41"/>
      <c r="G498" s="41"/>
      <c r="H498" s="66"/>
      <c r="I498" s="41"/>
      <c r="J498" s="126"/>
      <c r="K498" s="204"/>
      <c r="L498" s="205"/>
      <c r="M498" s="205"/>
      <c r="N498" s="205"/>
      <c r="O498" s="205"/>
      <c r="P498" s="205"/>
      <c r="Q498" s="205"/>
      <c r="R498" s="205"/>
      <c r="S498" s="205"/>
      <c r="T498" s="205"/>
      <c r="U498" s="205"/>
      <c r="V498" s="205"/>
      <c r="W498" s="205"/>
      <c r="X498" s="205"/>
      <c r="Y498" s="205"/>
      <c r="Z498" s="205"/>
      <c r="AA498" s="205"/>
      <c r="AB498" s="205"/>
      <c r="AC498" s="205"/>
      <c r="AD498" s="205"/>
      <c r="AE498" s="205"/>
      <c r="AF498" s="205"/>
      <c r="AG498" s="205"/>
      <c r="AH498" s="205"/>
      <c r="AI498" s="205"/>
      <c r="AJ498" s="747"/>
    </row>
    <row r="499" spans="1:36" ht="15.75" customHeight="1">
      <c r="A499" s="40"/>
      <c r="B499" s="40">
        <v>4</v>
      </c>
      <c r="C499" s="124"/>
      <c r="D499" s="124"/>
      <c r="E499" s="124"/>
      <c r="F499" s="451"/>
      <c r="G499" s="459" t="s">
        <v>171</v>
      </c>
      <c r="H499" s="66"/>
      <c r="I499" s="66"/>
      <c r="J499" s="452"/>
      <c r="K499" s="453"/>
      <c r="L499" s="454"/>
      <c r="M499" s="454"/>
      <c r="N499" s="454"/>
      <c r="O499" s="454"/>
      <c r="P499" s="454"/>
      <c r="Q499" s="454"/>
      <c r="R499" s="454"/>
      <c r="S499" s="454"/>
      <c r="T499" s="454"/>
      <c r="U499" s="454"/>
      <c r="V499" s="454"/>
      <c r="W499" s="454"/>
      <c r="X499" s="454"/>
      <c r="Y499" s="454"/>
      <c r="Z499" s="454"/>
      <c r="AA499" s="454"/>
      <c r="AB499" s="454"/>
      <c r="AC499" s="454"/>
      <c r="AD499" s="454"/>
      <c r="AE499" s="454"/>
      <c r="AF499" s="454"/>
      <c r="AG499" s="454"/>
      <c r="AH499" s="454"/>
      <c r="AI499" s="454"/>
      <c r="AJ499" s="769"/>
    </row>
    <row r="500" spans="1:36" ht="15.75" customHeight="1">
      <c r="A500" s="40"/>
      <c r="B500" s="40"/>
      <c r="C500" s="124">
        <v>1</v>
      </c>
      <c r="D500" s="124"/>
      <c r="E500" s="124"/>
      <c r="F500" s="451"/>
      <c r="G500" s="41"/>
      <c r="H500" s="66" t="s">
        <v>35</v>
      </c>
      <c r="I500" s="66"/>
      <c r="J500" s="452"/>
      <c r="K500" s="453"/>
      <c r="L500" s="454"/>
      <c r="M500" s="454"/>
      <c r="N500" s="454"/>
      <c r="O500" s="454"/>
      <c r="P500" s="454"/>
      <c r="Q500" s="454"/>
      <c r="R500" s="454"/>
      <c r="S500" s="454"/>
      <c r="T500" s="454"/>
      <c r="U500" s="454"/>
      <c r="V500" s="454"/>
      <c r="W500" s="454"/>
      <c r="X500" s="454"/>
      <c r="Y500" s="454"/>
      <c r="Z500" s="454"/>
      <c r="AA500" s="454"/>
      <c r="AB500" s="454"/>
      <c r="AC500" s="454"/>
      <c r="AD500" s="454"/>
      <c r="AE500" s="454"/>
      <c r="AF500" s="454"/>
      <c r="AG500" s="454"/>
      <c r="AH500" s="454"/>
      <c r="AI500" s="454"/>
      <c r="AJ500" s="769"/>
    </row>
    <row r="501" spans="1:36" ht="15.75" customHeight="1">
      <c r="A501" s="40"/>
      <c r="B501" s="40"/>
      <c r="C501" s="124"/>
      <c r="D501" s="124">
        <v>3</v>
      </c>
      <c r="E501" s="124" t="s">
        <v>198</v>
      </c>
      <c r="F501" s="451"/>
      <c r="G501" s="41"/>
      <c r="H501" s="66"/>
      <c r="I501" s="66" t="s">
        <v>116</v>
      </c>
      <c r="J501" s="452">
        <v>2700000</v>
      </c>
      <c r="K501" s="453"/>
      <c r="L501" s="217">
        <f>SUM(J501:K501)</f>
        <v>2700000</v>
      </c>
      <c r="M501" s="217"/>
      <c r="N501" s="217"/>
      <c r="O501" s="217"/>
      <c r="P501" s="217"/>
      <c r="Q501" s="217"/>
      <c r="R501" s="217"/>
      <c r="S501" s="217">
        <f t="shared" ref="S501" si="528">SUM(M501:R501)</f>
        <v>0</v>
      </c>
      <c r="T501" s="217">
        <f t="shared" ref="T501" si="529">S501+L501</f>
        <v>2700000</v>
      </c>
      <c r="U501" s="217"/>
      <c r="V501" s="217"/>
      <c r="W501" s="217"/>
      <c r="X501" s="217"/>
      <c r="Y501" s="217"/>
      <c r="Z501" s="217">
        <f>SUM(U501:Y501)</f>
        <v>0</v>
      </c>
      <c r="AA501" s="217">
        <f>Z501+T501</f>
        <v>2700000</v>
      </c>
      <c r="AB501" s="217"/>
      <c r="AC501" s="217"/>
      <c r="AD501" s="217"/>
      <c r="AE501" s="217"/>
      <c r="AF501" s="217"/>
      <c r="AG501" s="217">
        <f t="shared" ref="AG501" si="530">SUM(AB501:AF501)</f>
        <v>0</v>
      </c>
      <c r="AH501" s="217">
        <f t="shared" ref="AH501" si="531">AG501+AA501</f>
        <v>2700000</v>
      </c>
      <c r="AI501" s="217">
        <v>2700000</v>
      </c>
      <c r="AJ501" s="764">
        <f>AI501/AH501*100</f>
        <v>100</v>
      </c>
    </row>
    <row r="502" spans="1:36" ht="10" customHeight="1">
      <c r="A502" s="40"/>
      <c r="B502" s="40"/>
      <c r="C502" s="124"/>
      <c r="D502" s="124"/>
      <c r="E502" s="124"/>
      <c r="F502" s="451"/>
      <c r="G502" s="41"/>
      <c r="H502" s="66"/>
      <c r="I502" s="66"/>
      <c r="J502" s="452"/>
      <c r="K502" s="453"/>
      <c r="L502" s="454"/>
      <c r="M502" s="454"/>
      <c r="N502" s="454"/>
      <c r="O502" s="454"/>
      <c r="P502" s="454"/>
      <c r="Q502" s="454"/>
      <c r="R502" s="454"/>
      <c r="S502" s="454"/>
      <c r="T502" s="454"/>
      <c r="U502" s="454"/>
      <c r="V502" s="454"/>
      <c r="W502" s="454"/>
      <c r="X502" s="454"/>
      <c r="Y502" s="454"/>
      <c r="Z502" s="454"/>
      <c r="AA502" s="454"/>
      <c r="AB502" s="454"/>
      <c r="AC502" s="454"/>
      <c r="AD502" s="454"/>
      <c r="AE502" s="454"/>
      <c r="AF502" s="454"/>
      <c r="AG502" s="454"/>
      <c r="AH502" s="454"/>
      <c r="AI502" s="454"/>
      <c r="AJ502" s="769"/>
    </row>
    <row r="503" spans="1:36" ht="15.75" customHeight="1">
      <c r="A503" s="40"/>
      <c r="B503" s="40"/>
      <c r="C503" s="124"/>
      <c r="D503" s="124"/>
      <c r="E503" s="124"/>
      <c r="F503" s="173"/>
      <c r="G503" s="64"/>
      <c r="H503" s="65"/>
      <c r="I503" s="64" t="s">
        <v>38</v>
      </c>
      <c r="J503" s="333">
        <f>SUM(J499:J502)</f>
        <v>2700000</v>
      </c>
      <c r="K503" s="457"/>
      <c r="L503" s="458">
        <f>SUM(L499:L502)</f>
        <v>2700000</v>
      </c>
      <c r="M503" s="458">
        <f t="shared" ref="M503:T503" si="532">SUM(M499:M502)</f>
        <v>0</v>
      </c>
      <c r="N503" s="458">
        <f t="shared" si="532"/>
        <v>0</v>
      </c>
      <c r="O503" s="458">
        <f t="shared" si="532"/>
        <v>0</v>
      </c>
      <c r="P503" s="458">
        <f t="shared" si="532"/>
        <v>0</v>
      </c>
      <c r="Q503" s="458">
        <f t="shared" si="532"/>
        <v>0</v>
      </c>
      <c r="R503" s="458">
        <f t="shared" si="532"/>
        <v>0</v>
      </c>
      <c r="S503" s="458">
        <f t="shared" si="532"/>
        <v>0</v>
      </c>
      <c r="T503" s="458">
        <f t="shared" si="532"/>
        <v>2700000</v>
      </c>
      <c r="U503" s="458"/>
      <c r="V503" s="458"/>
      <c r="W503" s="458"/>
      <c r="X503" s="458"/>
      <c r="Y503" s="458"/>
      <c r="Z503" s="458">
        <f t="shared" ref="Z503:AA503" si="533">SUM(Z499:Z502)</f>
        <v>0</v>
      </c>
      <c r="AA503" s="458">
        <f t="shared" si="533"/>
        <v>2700000</v>
      </c>
      <c r="AB503" s="458"/>
      <c r="AC503" s="458"/>
      <c r="AD503" s="458"/>
      <c r="AE503" s="458"/>
      <c r="AF503" s="458"/>
      <c r="AG503" s="458">
        <f t="shared" ref="AG503:AI503" si="534">SUM(AG499:AG502)</f>
        <v>0</v>
      </c>
      <c r="AH503" s="458">
        <f t="shared" si="534"/>
        <v>2700000</v>
      </c>
      <c r="AI503" s="458">
        <f t="shared" si="534"/>
        <v>2700000</v>
      </c>
      <c r="AJ503" s="770">
        <f>AI503/AH503*100</f>
        <v>100</v>
      </c>
    </row>
    <row r="504" spans="1:36" ht="7.5" customHeight="1">
      <c r="A504" s="40"/>
      <c r="B504" s="40"/>
      <c r="C504" s="124"/>
      <c r="D504" s="124"/>
      <c r="E504" s="124"/>
      <c r="F504" s="451"/>
      <c r="G504" s="41"/>
      <c r="H504" s="66"/>
      <c r="I504" s="41"/>
      <c r="J504" s="126"/>
      <c r="K504" s="204"/>
      <c r="L504" s="205"/>
      <c r="M504" s="205"/>
      <c r="N504" s="205"/>
      <c r="O504" s="205"/>
      <c r="P504" s="205"/>
      <c r="Q504" s="205"/>
      <c r="R504" s="205"/>
      <c r="S504" s="205"/>
      <c r="T504" s="205"/>
      <c r="U504" s="205"/>
      <c r="V504" s="205"/>
      <c r="W504" s="205"/>
      <c r="X504" s="205"/>
      <c r="Y504" s="205"/>
      <c r="Z504" s="205"/>
      <c r="AA504" s="205"/>
      <c r="AB504" s="205"/>
      <c r="AC504" s="205"/>
      <c r="AD504" s="205"/>
      <c r="AE504" s="205"/>
      <c r="AF504" s="205"/>
      <c r="AG504" s="205"/>
      <c r="AH504" s="205"/>
      <c r="AI504" s="205"/>
      <c r="AJ504" s="747"/>
    </row>
    <row r="505" spans="1:36" ht="15.75" customHeight="1">
      <c r="A505" s="40"/>
      <c r="B505" s="40">
        <v>5</v>
      </c>
      <c r="C505" s="124"/>
      <c r="D505" s="124"/>
      <c r="E505" s="124"/>
      <c r="F505" s="451"/>
      <c r="G505" s="459" t="s">
        <v>172</v>
      </c>
      <c r="H505" s="66"/>
      <c r="I505" s="66"/>
      <c r="J505" s="452"/>
      <c r="K505" s="453"/>
      <c r="L505" s="454"/>
      <c r="M505" s="454"/>
      <c r="N505" s="454"/>
      <c r="O505" s="454"/>
      <c r="P505" s="454"/>
      <c r="Q505" s="454"/>
      <c r="R505" s="454"/>
      <c r="S505" s="454"/>
      <c r="T505" s="454"/>
      <c r="U505" s="454"/>
      <c r="V505" s="454"/>
      <c r="W505" s="454"/>
      <c r="X505" s="454"/>
      <c r="Y505" s="454"/>
      <c r="Z505" s="454"/>
      <c r="AA505" s="454"/>
      <c r="AB505" s="454"/>
      <c r="AC505" s="454"/>
      <c r="AD505" s="454"/>
      <c r="AE505" s="454"/>
      <c r="AF505" s="454"/>
      <c r="AG505" s="454"/>
      <c r="AH505" s="454"/>
      <c r="AI505" s="454"/>
      <c r="AJ505" s="769"/>
    </row>
    <row r="506" spans="1:36" ht="15.75" customHeight="1">
      <c r="A506" s="40"/>
      <c r="B506" s="40"/>
      <c r="C506" s="124">
        <v>1</v>
      </c>
      <c r="D506" s="124"/>
      <c r="E506" s="124"/>
      <c r="F506" s="451"/>
      <c r="G506" s="41"/>
      <c r="H506" s="66" t="s">
        <v>35</v>
      </c>
      <c r="I506" s="66"/>
      <c r="J506" s="452"/>
      <c r="K506" s="453"/>
      <c r="L506" s="454"/>
      <c r="M506" s="454"/>
      <c r="N506" s="454"/>
      <c r="O506" s="454"/>
      <c r="P506" s="454"/>
      <c r="Q506" s="454"/>
      <c r="R506" s="454"/>
      <c r="S506" s="454"/>
      <c r="T506" s="454"/>
      <c r="U506" s="454"/>
      <c r="V506" s="454"/>
      <c r="W506" s="454"/>
      <c r="X506" s="454"/>
      <c r="Y506" s="454"/>
      <c r="Z506" s="454"/>
      <c r="AA506" s="454"/>
      <c r="AB506" s="454"/>
      <c r="AC506" s="454"/>
      <c r="AD506" s="454"/>
      <c r="AE506" s="454"/>
      <c r="AF506" s="454"/>
      <c r="AG506" s="454"/>
      <c r="AH506" s="454"/>
      <c r="AI506" s="454"/>
      <c r="AJ506" s="769"/>
    </row>
    <row r="507" spans="1:36" ht="15.75" customHeight="1">
      <c r="A507" s="40"/>
      <c r="B507" s="40"/>
      <c r="C507" s="124"/>
      <c r="D507" s="124">
        <v>5</v>
      </c>
      <c r="E507" s="124" t="s">
        <v>198</v>
      </c>
      <c r="F507" s="451"/>
      <c r="G507" s="41"/>
      <c r="H507" s="66"/>
      <c r="I507" s="66" t="s">
        <v>185</v>
      </c>
      <c r="J507" s="452">
        <v>400000</v>
      </c>
      <c r="K507" s="453"/>
      <c r="L507" s="217">
        <f>SUM(J507:K507)</f>
        <v>400000</v>
      </c>
      <c r="M507" s="217"/>
      <c r="N507" s="217"/>
      <c r="O507" s="217"/>
      <c r="P507" s="217"/>
      <c r="Q507" s="217"/>
      <c r="R507" s="217"/>
      <c r="S507" s="217">
        <f t="shared" ref="S507" si="535">SUM(M507:R507)</f>
        <v>0</v>
      </c>
      <c r="T507" s="217">
        <f t="shared" ref="T507" si="536">S507+L507</f>
        <v>400000</v>
      </c>
      <c r="U507" s="217"/>
      <c r="V507" s="217"/>
      <c r="W507" s="217"/>
      <c r="X507" s="217"/>
      <c r="Y507" s="217"/>
      <c r="Z507" s="217">
        <f>SUM(U507:Y507)</f>
        <v>0</v>
      </c>
      <c r="AA507" s="217">
        <f>Z507+T507</f>
        <v>400000</v>
      </c>
      <c r="AB507" s="217"/>
      <c r="AC507" s="217"/>
      <c r="AD507" s="217"/>
      <c r="AE507" s="217"/>
      <c r="AF507" s="217"/>
      <c r="AG507" s="217">
        <f t="shared" ref="AG507" si="537">SUM(AB507:AF507)</f>
        <v>0</v>
      </c>
      <c r="AH507" s="217">
        <f t="shared" ref="AH507" si="538">AG507+AA507</f>
        <v>400000</v>
      </c>
      <c r="AI507" s="217">
        <v>400000</v>
      </c>
      <c r="AJ507" s="764">
        <f>AI507/AH507*100</f>
        <v>100</v>
      </c>
    </row>
    <row r="508" spans="1:36" ht="7.5" customHeight="1">
      <c r="A508" s="40"/>
      <c r="B508" s="40"/>
      <c r="C508" s="124"/>
      <c r="D508" s="124"/>
      <c r="E508" s="124"/>
      <c r="F508" s="451"/>
      <c r="G508" s="41"/>
      <c r="H508" s="66"/>
      <c r="I508" s="66"/>
      <c r="J508" s="452"/>
      <c r="K508" s="453"/>
      <c r="L508" s="217"/>
      <c r="M508" s="217"/>
      <c r="N508" s="217"/>
      <c r="O508" s="217"/>
      <c r="P508" s="217"/>
      <c r="Q508" s="217"/>
      <c r="R508" s="217"/>
      <c r="S508" s="454"/>
      <c r="T508" s="454"/>
      <c r="U508" s="217"/>
      <c r="V508" s="217"/>
      <c r="W508" s="217"/>
      <c r="X508" s="217"/>
      <c r="Y508" s="217"/>
      <c r="Z508" s="454"/>
      <c r="AA508" s="454"/>
      <c r="AB508" s="217"/>
      <c r="AC508" s="217"/>
      <c r="AD508" s="217"/>
      <c r="AE508" s="217"/>
      <c r="AF508" s="217"/>
      <c r="AG508" s="454"/>
      <c r="AH508" s="454"/>
      <c r="AI508" s="454"/>
      <c r="AJ508" s="769"/>
    </row>
    <row r="509" spans="1:36" ht="15.75" customHeight="1">
      <c r="A509" s="40"/>
      <c r="B509" s="40"/>
      <c r="C509" s="124"/>
      <c r="D509" s="124"/>
      <c r="E509" s="124"/>
      <c r="F509" s="173"/>
      <c r="G509" s="64"/>
      <c r="H509" s="65"/>
      <c r="I509" s="64" t="s">
        <v>38</v>
      </c>
      <c r="J509" s="333">
        <f>SUM(J504:J508)</f>
        <v>400000</v>
      </c>
      <c r="K509" s="457"/>
      <c r="L509" s="458">
        <f>SUM(L504:L508)</f>
        <v>400000</v>
      </c>
      <c r="M509" s="458">
        <f t="shared" ref="M509:T509" si="539">SUM(M504:M508)</f>
        <v>0</v>
      </c>
      <c r="N509" s="458">
        <f t="shared" si="539"/>
        <v>0</v>
      </c>
      <c r="O509" s="458">
        <f t="shared" si="539"/>
        <v>0</v>
      </c>
      <c r="P509" s="458">
        <f t="shared" si="539"/>
        <v>0</v>
      </c>
      <c r="Q509" s="458">
        <f t="shared" si="539"/>
        <v>0</v>
      </c>
      <c r="R509" s="458">
        <f t="shared" si="539"/>
        <v>0</v>
      </c>
      <c r="S509" s="458">
        <f t="shared" si="539"/>
        <v>0</v>
      </c>
      <c r="T509" s="458">
        <f t="shared" si="539"/>
        <v>400000</v>
      </c>
      <c r="U509" s="458"/>
      <c r="V509" s="458"/>
      <c r="W509" s="458"/>
      <c r="X509" s="458"/>
      <c r="Y509" s="458"/>
      <c r="Z509" s="458">
        <f t="shared" ref="Z509:AA509" si="540">SUM(Z504:Z508)</f>
        <v>0</v>
      </c>
      <c r="AA509" s="458">
        <f t="shared" si="540"/>
        <v>400000</v>
      </c>
      <c r="AB509" s="458"/>
      <c r="AC509" s="458"/>
      <c r="AD509" s="458"/>
      <c r="AE509" s="458"/>
      <c r="AF509" s="458"/>
      <c r="AG509" s="458">
        <f t="shared" ref="AG509:AI509" si="541">SUM(AG504:AG508)</f>
        <v>0</v>
      </c>
      <c r="AH509" s="458">
        <f t="shared" si="541"/>
        <v>400000</v>
      </c>
      <c r="AI509" s="458">
        <f t="shared" si="541"/>
        <v>400000</v>
      </c>
      <c r="AJ509" s="770">
        <f>AI509/AH509*100</f>
        <v>100</v>
      </c>
    </row>
    <row r="510" spans="1:36" ht="6.5" customHeight="1">
      <c r="A510" s="40"/>
      <c r="B510" s="40"/>
      <c r="C510" s="124"/>
      <c r="D510" s="124"/>
      <c r="E510" s="124"/>
      <c r="F510" s="451"/>
      <c r="G510" s="41"/>
      <c r="H510" s="66"/>
      <c r="I510" s="41"/>
      <c r="J510" s="126"/>
      <c r="K510" s="204"/>
      <c r="L510" s="205"/>
      <c r="M510" s="205"/>
      <c r="N510" s="205"/>
      <c r="O510" s="205"/>
      <c r="P510" s="205"/>
      <c r="Q510" s="205"/>
      <c r="R510" s="205"/>
      <c r="S510" s="205"/>
      <c r="T510" s="205"/>
      <c r="U510" s="205"/>
      <c r="V510" s="205"/>
      <c r="W510" s="205"/>
      <c r="X510" s="205"/>
      <c r="Y510" s="205"/>
      <c r="Z510" s="205"/>
      <c r="AA510" s="205"/>
      <c r="AB510" s="205"/>
      <c r="AC510" s="205"/>
      <c r="AD510" s="205"/>
      <c r="AE510" s="205"/>
      <c r="AF510" s="205"/>
      <c r="AG510" s="205"/>
      <c r="AH510" s="205"/>
      <c r="AI510" s="205"/>
      <c r="AJ510" s="747"/>
    </row>
    <row r="511" spans="1:36" ht="15.75" customHeight="1">
      <c r="A511" s="40"/>
      <c r="B511" s="40">
        <v>6</v>
      </c>
      <c r="C511" s="124"/>
      <c r="D511" s="124"/>
      <c r="E511" s="124"/>
      <c r="F511" s="451"/>
      <c r="G511" s="459" t="s">
        <v>374</v>
      </c>
      <c r="H511" s="66"/>
      <c r="I511" s="66"/>
      <c r="J511" s="452"/>
      <c r="K511" s="453"/>
      <c r="L511" s="454"/>
      <c r="M511" s="454"/>
      <c r="N511" s="454"/>
      <c r="O511" s="454"/>
      <c r="P511" s="454"/>
      <c r="Q511" s="454"/>
      <c r="R511" s="454"/>
      <c r="S511" s="454"/>
      <c r="T511" s="454"/>
      <c r="U511" s="454"/>
      <c r="V511" s="454"/>
      <c r="W511" s="454"/>
      <c r="X511" s="454"/>
      <c r="Y511" s="454"/>
      <c r="Z511" s="454"/>
      <c r="AA511" s="454"/>
      <c r="AB511" s="454"/>
      <c r="AC511" s="454"/>
      <c r="AD511" s="454"/>
      <c r="AE511" s="454"/>
      <c r="AF511" s="454"/>
      <c r="AG511" s="454"/>
      <c r="AH511" s="454"/>
      <c r="AI511" s="454"/>
      <c r="AJ511" s="769"/>
    </row>
    <row r="512" spans="1:36" ht="15.75" customHeight="1">
      <c r="A512" s="40"/>
      <c r="B512" s="40"/>
      <c r="C512" s="124">
        <v>1</v>
      </c>
      <c r="D512" s="124"/>
      <c r="E512" s="124"/>
      <c r="F512" s="451"/>
      <c r="G512" s="41"/>
      <c r="H512" s="66" t="s">
        <v>35</v>
      </c>
      <c r="I512" s="66"/>
      <c r="J512" s="452"/>
      <c r="K512" s="453"/>
      <c r="L512" s="454"/>
      <c r="M512" s="454"/>
      <c r="N512" s="454"/>
      <c r="O512" s="454"/>
      <c r="P512" s="454"/>
      <c r="Q512" s="454"/>
      <c r="R512" s="454"/>
      <c r="S512" s="454"/>
      <c r="T512" s="454"/>
      <c r="U512" s="454"/>
      <c r="V512" s="454"/>
      <c r="W512" s="454"/>
      <c r="X512" s="454"/>
      <c r="Y512" s="454"/>
      <c r="Z512" s="454"/>
      <c r="AA512" s="454"/>
      <c r="AB512" s="454"/>
      <c r="AC512" s="454"/>
      <c r="AD512" s="454"/>
      <c r="AE512" s="454"/>
      <c r="AF512" s="454"/>
      <c r="AG512" s="454"/>
      <c r="AH512" s="454"/>
      <c r="AI512" s="454"/>
      <c r="AJ512" s="769"/>
    </row>
    <row r="513" spans="1:36" ht="15.75" customHeight="1">
      <c r="A513" s="40"/>
      <c r="B513" s="40"/>
      <c r="C513" s="124"/>
      <c r="D513" s="124">
        <v>5</v>
      </c>
      <c r="E513" s="124" t="s">
        <v>198</v>
      </c>
      <c r="F513" s="451"/>
      <c r="G513" s="41"/>
      <c r="H513" s="66"/>
      <c r="I513" s="66" t="s">
        <v>185</v>
      </c>
      <c r="J513" s="452">
        <v>620000</v>
      </c>
      <c r="K513" s="453"/>
      <c r="L513" s="217">
        <f>SUM(J513:K513)</f>
        <v>620000</v>
      </c>
      <c r="M513" s="217"/>
      <c r="N513" s="217"/>
      <c r="O513" s="217"/>
      <c r="P513" s="217"/>
      <c r="Q513" s="217"/>
      <c r="R513" s="217"/>
      <c r="S513" s="217">
        <f t="shared" ref="S513" si="542">SUM(M513:R513)</f>
        <v>0</v>
      </c>
      <c r="T513" s="217">
        <f t="shared" ref="T513" si="543">S513+L513</f>
        <v>620000</v>
      </c>
      <c r="U513" s="217"/>
      <c r="V513" s="217"/>
      <c r="W513" s="217"/>
      <c r="X513" s="217"/>
      <c r="Y513" s="217"/>
      <c r="Z513" s="217">
        <f>SUM(U513:Y513)</f>
        <v>0</v>
      </c>
      <c r="AA513" s="217">
        <f>Z513+T513</f>
        <v>620000</v>
      </c>
      <c r="AB513" s="217"/>
      <c r="AC513" s="217"/>
      <c r="AD513" s="217"/>
      <c r="AE513" s="217"/>
      <c r="AF513" s="217"/>
      <c r="AG513" s="217">
        <f t="shared" ref="AG513" si="544">SUM(AB513:AF513)</f>
        <v>0</v>
      </c>
      <c r="AH513" s="217">
        <f t="shared" ref="AH513" si="545">AG513+AA513</f>
        <v>620000</v>
      </c>
      <c r="AI513" s="217">
        <v>620000</v>
      </c>
      <c r="AJ513" s="764">
        <f>AI513/AH513*100</f>
        <v>100</v>
      </c>
    </row>
    <row r="514" spans="1:36" ht="15.75" customHeight="1">
      <c r="A514" s="40"/>
      <c r="B514" s="40"/>
      <c r="C514" s="124"/>
      <c r="D514" s="124"/>
      <c r="E514" s="124"/>
      <c r="F514" s="451"/>
      <c r="G514" s="41"/>
      <c r="H514" s="66"/>
      <c r="I514" s="66"/>
      <c r="J514" s="452"/>
      <c r="K514" s="453"/>
      <c r="L514" s="217"/>
      <c r="M514" s="217"/>
      <c r="N514" s="217"/>
      <c r="O514" s="217"/>
      <c r="P514" s="217"/>
      <c r="Q514" s="217"/>
      <c r="R514" s="217"/>
      <c r="S514" s="454"/>
      <c r="T514" s="454"/>
      <c r="U514" s="217"/>
      <c r="V514" s="217"/>
      <c r="W514" s="217"/>
      <c r="X514" s="217"/>
      <c r="Y514" s="217"/>
      <c r="Z514" s="454"/>
      <c r="AA514" s="454"/>
      <c r="AB514" s="217"/>
      <c r="AC514" s="217"/>
      <c r="AD514" s="217"/>
      <c r="AE514" s="217"/>
      <c r="AF514" s="217"/>
      <c r="AG514" s="454"/>
      <c r="AH514" s="454"/>
      <c r="AI514" s="454"/>
      <c r="AJ514" s="769"/>
    </row>
    <row r="515" spans="1:36" ht="15.75" customHeight="1">
      <c r="A515" s="40"/>
      <c r="B515" s="40"/>
      <c r="C515" s="124"/>
      <c r="D515" s="124"/>
      <c r="E515" s="124"/>
      <c r="F515" s="173"/>
      <c r="G515" s="64"/>
      <c r="H515" s="65"/>
      <c r="I515" s="64" t="s">
        <v>38</v>
      </c>
      <c r="J515" s="333">
        <f>SUM(J513:J514)</f>
        <v>620000</v>
      </c>
      <c r="K515" s="457"/>
      <c r="L515" s="458">
        <f>SUM(L510:L513)</f>
        <v>620000</v>
      </c>
      <c r="M515" s="458">
        <f t="shared" ref="M515:T515" si="546">SUM(M510:M513)</f>
        <v>0</v>
      </c>
      <c r="N515" s="458">
        <f t="shared" si="546"/>
        <v>0</v>
      </c>
      <c r="O515" s="458">
        <f t="shared" si="546"/>
        <v>0</v>
      </c>
      <c r="P515" s="458">
        <f t="shared" si="546"/>
        <v>0</v>
      </c>
      <c r="Q515" s="458">
        <f t="shared" si="546"/>
        <v>0</v>
      </c>
      <c r="R515" s="458">
        <f t="shared" si="546"/>
        <v>0</v>
      </c>
      <c r="S515" s="458">
        <f t="shared" si="546"/>
        <v>0</v>
      </c>
      <c r="T515" s="458">
        <f t="shared" si="546"/>
        <v>620000</v>
      </c>
      <c r="U515" s="458"/>
      <c r="V515" s="458"/>
      <c r="W515" s="458"/>
      <c r="X515" s="458"/>
      <c r="Y515" s="458"/>
      <c r="Z515" s="458">
        <f t="shared" ref="Z515:AA515" si="547">SUM(Z510:Z513)</f>
        <v>0</v>
      </c>
      <c r="AA515" s="458">
        <f t="shared" si="547"/>
        <v>620000</v>
      </c>
      <c r="AB515" s="458"/>
      <c r="AC515" s="458"/>
      <c r="AD515" s="458"/>
      <c r="AE515" s="458"/>
      <c r="AF515" s="458"/>
      <c r="AG515" s="458">
        <f t="shared" ref="AG515:AI515" si="548">SUM(AG510:AG513)</f>
        <v>0</v>
      </c>
      <c r="AH515" s="458">
        <f t="shared" si="548"/>
        <v>620000</v>
      </c>
      <c r="AI515" s="458">
        <f t="shared" si="548"/>
        <v>620000</v>
      </c>
      <c r="AJ515" s="770">
        <f>AI515/AH515*100</f>
        <v>100</v>
      </c>
    </row>
    <row r="516" spans="1:36" ht="16.5" customHeight="1">
      <c r="A516" s="40"/>
      <c r="B516" s="40"/>
      <c r="C516" s="124"/>
      <c r="D516" s="124"/>
      <c r="E516" s="124"/>
      <c r="F516" s="41"/>
      <c r="G516" s="41"/>
      <c r="H516" s="66"/>
      <c r="I516" s="41"/>
      <c r="J516" s="126"/>
      <c r="K516" s="204"/>
      <c r="L516" s="205"/>
      <c r="M516" s="205"/>
      <c r="N516" s="205"/>
      <c r="O516" s="205"/>
      <c r="P516" s="205"/>
      <c r="Q516" s="205"/>
      <c r="R516" s="205"/>
      <c r="S516" s="205"/>
      <c r="T516" s="205"/>
      <c r="U516" s="205"/>
      <c r="V516" s="205"/>
      <c r="W516" s="205"/>
      <c r="X516" s="205"/>
      <c r="Y516" s="205"/>
      <c r="Z516" s="205"/>
      <c r="AA516" s="205"/>
      <c r="AB516" s="205"/>
      <c r="AC516" s="205"/>
      <c r="AD516" s="205"/>
      <c r="AE516" s="205"/>
      <c r="AF516" s="205"/>
      <c r="AG516" s="205"/>
      <c r="AH516" s="205"/>
      <c r="AI516" s="205"/>
      <c r="AJ516" s="747"/>
    </row>
    <row r="517" spans="1:36" ht="16.5" customHeight="1">
      <c r="A517" s="40"/>
      <c r="B517" s="40">
        <v>7</v>
      </c>
      <c r="C517" s="124"/>
      <c r="D517" s="124"/>
      <c r="E517" s="124"/>
      <c r="F517" s="41"/>
      <c r="G517" s="41" t="s">
        <v>344</v>
      </c>
      <c r="H517" s="66"/>
      <c r="I517" s="41"/>
      <c r="J517" s="126"/>
      <c r="K517" s="204"/>
      <c r="L517" s="205"/>
      <c r="M517" s="205"/>
      <c r="N517" s="205"/>
      <c r="O517" s="205"/>
      <c r="P517" s="205"/>
      <c r="Q517" s="205"/>
      <c r="R517" s="205"/>
      <c r="S517" s="205"/>
      <c r="T517" s="205"/>
      <c r="U517" s="205"/>
      <c r="V517" s="205"/>
      <c r="W517" s="205"/>
      <c r="X517" s="205"/>
      <c r="Y517" s="205"/>
      <c r="Z517" s="205"/>
      <c r="AA517" s="205"/>
      <c r="AB517" s="205"/>
      <c r="AC517" s="205"/>
      <c r="AD517" s="205"/>
      <c r="AE517" s="205"/>
      <c r="AF517" s="205"/>
      <c r="AG517" s="205"/>
      <c r="AH517" s="205"/>
      <c r="AI517" s="205"/>
      <c r="AJ517" s="747"/>
    </row>
    <row r="518" spans="1:36" ht="16.5" customHeight="1">
      <c r="A518" s="40"/>
      <c r="B518" s="40"/>
      <c r="C518" s="124">
        <v>1</v>
      </c>
      <c r="D518" s="124"/>
      <c r="E518" s="124"/>
      <c r="F518" s="41"/>
      <c r="G518" s="41"/>
      <c r="H518" s="66" t="s">
        <v>35</v>
      </c>
      <c r="I518" s="41"/>
      <c r="J518" s="126"/>
      <c r="K518" s="204"/>
      <c r="L518" s="205"/>
      <c r="M518" s="205"/>
      <c r="N518" s="205"/>
      <c r="O518" s="205"/>
      <c r="P518" s="205"/>
      <c r="Q518" s="205"/>
      <c r="R518" s="205"/>
      <c r="S518" s="205"/>
      <c r="T518" s="205"/>
      <c r="U518" s="205"/>
      <c r="V518" s="205"/>
      <c r="W518" s="205"/>
      <c r="X518" s="205"/>
      <c r="Y518" s="205"/>
      <c r="Z518" s="205"/>
      <c r="AA518" s="205"/>
      <c r="AB518" s="205"/>
      <c r="AC518" s="205"/>
      <c r="AD518" s="205"/>
      <c r="AE518" s="205"/>
      <c r="AF518" s="205"/>
      <c r="AG518" s="205"/>
      <c r="AH518" s="205"/>
      <c r="AI518" s="205"/>
      <c r="AJ518" s="747"/>
    </row>
    <row r="519" spans="1:36" ht="16.5" customHeight="1">
      <c r="A519" s="40"/>
      <c r="B519" s="40"/>
      <c r="C519" s="124"/>
      <c r="D519" s="124">
        <v>5</v>
      </c>
      <c r="E519" s="124" t="s">
        <v>198</v>
      </c>
      <c r="F519" s="41"/>
      <c r="G519" s="41"/>
      <c r="H519" s="66"/>
      <c r="I519" s="66" t="s">
        <v>185</v>
      </c>
      <c r="J519" s="452">
        <v>620000</v>
      </c>
      <c r="K519" s="204"/>
      <c r="L519" s="217">
        <f>SUM(J519:K519)</f>
        <v>620000</v>
      </c>
      <c r="M519" s="217"/>
      <c r="N519" s="217"/>
      <c r="O519" s="217"/>
      <c r="P519" s="217"/>
      <c r="Q519" s="217"/>
      <c r="R519" s="217"/>
      <c r="S519" s="217">
        <f t="shared" ref="S519" si="549">SUM(M519:R519)</f>
        <v>0</v>
      </c>
      <c r="T519" s="217">
        <f t="shared" ref="T519" si="550">S519+L519</f>
        <v>620000</v>
      </c>
      <c r="U519" s="217"/>
      <c r="V519" s="217"/>
      <c r="W519" s="217"/>
      <c r="X519" s="217"/>
      <c r="Y519" s="217"/>
      <c r="Z519" s="217">
        <f>SUM(U519:Y519)</f>
        <v>0</v>
      </c>
      <c r="AA519" s="217">
        <f>Z519+T519</f>
        <v>620000</v>
      </c>
      <c r="AB519" s="217"/>
      <c r="AC519" s="217"/>
      <c r="AD519" s="217"/>
      <c r="AE519" s="217"/>
      <c r="AF519" s="217"/>
      <c r="AG519" s="217">
        <f t="shared" ref="AG519" si="551">SUM(AB519:AF519)</f>
        <v>0</v>
      </c>
      <c r="AH519" s="217">
        <f t="shared" ref="AH519" si="552">AG519+AA519</f>
        <v>620000</v>
      </c>
      <c r="AI519" s="217">
        <v>620000</v>
      </c>
      <c r="AJ519" s="764">
        <f>AI519/AH519*100</f>
        <v>100</v>
      </c>
    </row>
    <row r="520" spans="1:36" ht="6.5" customHeight="1">
      <c r="A520" s="40"/>
      <c r="B520" s="40"/>
      <c r="C520" s="124"/>
      <c r="D520" s="124"/>
      <c r="E520" s="124"/>
      <c r="F520" s="41"/>
      <c r="G520" s="41"/>
      <c r="H520" s="66"/>
      <c r="I520" s="66"/>
      <c r="J520" s="452"/>
      <c r="K520" s="204"/>
      <c r="L520" s="217"/>
      <c r="M520" s="217"/>
      <c r="N520" s="217"/>
      <c r="O520" s="217"/>
      <c r="P520" s="217"/>
      <c r="Q520" s="217"/>
      <c r="R520" s="217"/>
      <c r="S520" s="454"/>
      <c r="T520" s="454"/>
      <c r="U520" s="217"/>
      <c r="V520" s="217"/>
      <c r="W520" s="217"/>
      <c r="X520" s="217"/>
      <c r="Y520" s="217"/>
      <c r="Z520" s="454"/>
      <c r="AA520" s="454"/>
      <c r="AB520" s="217"/>
      <c r="AC520" s="217"/>
      <c r="AD520" s="217"/>
      <c r="AE520" s="217"/>
      <c r="AF520" s="217"/>
      <c r="AG520" s="454"/>
      <c r="AH520" s="454"/>
      <c r="AI520" s="454"/>
      <c r="AJ520" s="769"/>
    </row>
    <row r="521" spans="1:36" ht="16.5" customHeight="1">
      <c r="A521" s="40"/>
      <c r="B521" s="40"/>
      <c r="C521" s="124"/>
      <c r="D521" s="124"/>
      <c r="E521" s="124"/>
      <c r="F521" s="173"/>
      <c r="G521" s="64"/>
      <c r="H521" s="65"/>
      <c r="I521" s="64" t="s">
        <v>38</v>
      </c>
      <c r="J521" s="333">
        <f>SUM(J519:J520)</f>
        <v>620000</v>
      </c>
      <c r="K521" s="457"/>
      <c r="L521" s="458">
        <f>SUM(J521:K521)</f>
        <v>620000</v>
      </c>
      <c r="M521" s="458">
        <f t="shared" ref="M521:T521" si="553">SUM(M519:M520)</f>
        <v>0</v>
      </c>
      <c r="N521" s="458">
        <f t="shared" si="553"/>
        <v>0</v>
      </c>
      <c r="O521" s="458">
        <f t="shared" si="553"/>
        <v>0</v>
      </c>
      <c r="P521" s="458">
        <f t="shared" si="553"/>
        <v>0</v>
      </c>
      <c r="Q521" s="458">
        <f t="shared" si="553"/>
        <v>0</v>
      </c>
      <c r="R521" s="458">
        <f t="shared" si="553"/>
        <v>0</v>
      </c>
      <c r="S521" s="458">
        <f t="shared" si="553"/>
        <v>0</v>
      </c>
      <c r="T521" s="458">
        <f t="shared" si="553"/>
        <v>620000</v>
      </c>
      <c r="U521" s="458"/>
      <c r="V521" s="458"/>
      <c r="W521" s="458"/>
      <c r="X521" s="458"/>
      <c r="Y521" s="458"/>
      <c r="Z521" s="458">
        <f t="shared" ref="Z521:AA521" si="554">SUM(Z519:Z520)</f>
        <v>0</v>
      </c>
      <c r="AA521" s="458">
        <f t="shared" si="554"/>
        <v>620000</v>
      </c>
      <c r="AB521" s="458"/>
      <c r="AC521" s="458"/>
      <c r="AD521" s="458"/>
      <c r="AE521" s="458"/>
      <c r="AF521" s="458"/>
      <c r="AG521" s="458">
        <f t="shared" ref="AG521:AI521" si="555">SUM(AG519:AG520)</f>
        <v>0</v>
      </c>
      <c r="AH521" s="458">
        <f t="shared" si="555"/>
        <v>620000</v>
      </c>
      <c r="AI521" s="458">
        <f t="shared" si="555"/>
        <v>620000</v>
      </c>
      <c r="AJ521" s="770">
        <f>AI521/AH521*100</f>
        <v>100</v>
      </c>
    </row>
    <row r="522" spans="1:36" ht="8.5" customHeight="1">
      <c r="A522" s="40"/>
      <c r="B522" s="40"/>
      <c r="C522" s="124"/>
      <c r="D522" s="124"/>
      <c r="E522" s="124"/>
      <c r="F522" s="41"/>
      <c r="G522" s="41"/>
      <c r="H522" s="66"/>
      <c r="I522" s="41"/>
      <c r="J522" s="126"/>
      <c r="K522" s="204"/>
      <c r="L522" s="205"/>
      <c r="M522" s="205"/>
      <c r="N522" s="205"/>
      <c r="O522" s="205"/>
      <c r="P522" s="205"/>
      <c r="Q522" s="205"/>
      <c r="R522" s="205"/>
      <c r="S522" s="205"/>
      <c r="T522" s="205"/>
      <c r="U522" s="205"/>
      <c r="V522" s="205"/>
      <c r="W522" s="205"/>
      <c r="X522" s="205"/>
      <c r="Y522" s="205"/>
      <c r="Z522" s="205"/>
      <c r="AA522" s="205"/>
      <c r="AB522" s="205"/>
      <c r="AC522" s="205"/>
      <c r="AD522" s="205"/>
      <c r="AE522" s="205"/>
      <c r="AF522" s="205"/>
      <c r="AG522" s="205"/>
      <c r="AH522" s="205"/>
      <c r="AI522" s="205"/>
      <c r="AJ522" s="747"/>
    </row>
    <row r="523" spans="1:36" ht="14.25" customHeight="1">
      <c r="A523" s="40"/>
      <c r="B523" s="40">
        <v>8</v>
      </c>
      <c r="C523" s="124"/>
      <c r="D523" s="124"/>
      <c r="E523" s="124"/>
      <c r="F523" s="41"/>
      <c r="G523" s="935" t="s">
        <v>151</v>
      </c>
      <c r="H523" s="935"/>
      <c r="I523" s="936"/>
      <c r="J523" s="126"/>
      <c r="K523" s="204"/>
      <c r="L523" s="205"/>
      <c r="M523" s="205"/>
      <c r="N523" s="205"/>
      <c r="O523" s="205"/>
      <c r="P523" s="205"/>
      <c r="Q523" s="205"/>
      <c r="R523" s="205"/>
      <c r="S523" s="205"/>
      <c r="T523" s="205"/>
      <c r="U523" s="205"/>
      <c r="V523" s="205"/>
      <c r="W523" s="205"/>
      <c r="X523" s="205"/>
      <c r="Y523" s="205"/>
      <c r="Z523" s="205"/>
      <c r="AA523" s="205"/>
      <c r="AB523" s="205"/>
      <c r="AC523" s="205"/>
      <c r="AD523" s="205"/>
      <c r="AE523" s="205"/>
      <c r="AF523" s="205"/>
      <c r="AG523" s="205"/>
      <c r="AH523" s="205"/>
      <c r="AI523" s="205"/>
      <c r="AJ523" s="747"/>
    </row>
    <row r="524" spans="1:36" ht="14.25" customHeight="1">
      <c r="A524" s="40"/>
      <c r="B524" s="40"/>
      <c r="C524" s="124">
        <v>1</v>
      </c>
      <c r="D524" s="124"/>
      <c r="E524" s="124"/>
      <c r="F524" s="41"/>
      <c r="G524" s="41"/>
      <c r="H524" s="66" t="s">
        <v>35</v>
      </c>
      <c r="I524" s="41"/>
      <c r="J524" s="126"/>
      <c r="K524" s="204"/>
      <c r="L524" s="205"/>
      <c r="M524" s="205"/>
      <c r="N524" s="205"/>
      <c r="O524" s="205"/>
      <c r="P524" s="205"/>
      <c r="Q524" s="205"/>
      <c r="R524" s="205"/>
      <c r="S524" s="205"/>
      <c r="T524" s="205"/>
      <c r="U524" s="205"/>
      <c r="V524" s="205"/>
      <c r="W524" s="205"/>
      <c r="X524" s="205"/>
      <c r="Y524" s="205"/>
      <c r="Z524" s="205"/>
      <c r="AA524" s="205"/>
      <c r="AB524" s="205"/>
      <c r="AC524" s="205"/>
      <c r="AD524" s="205"/>
      <c r="AE524" s="205"/>
      <c r="AF524" s="205"/>
      <c r="AG524" s="205"/>
      <c r="AH524" s="205"/>
      <c r="AI524" s="205"/>
      <c r="AJ524" s="747"/>
    </row>
    <row r="525" spans="1:36" ht="14.25" customHeight="1">
      <c r="A525" s="40"/>
      <c r="B525" s="40"/>
      <c r="C525" s="124"/>
      <c r="D525" s="124">
        <v>5</v>
      </c>
      <c r="E525" s="124" t="s">
        <v>198</v>
      </c>
      <c r="F525" s="41"/>
      <c r="G525" s="41"/>
      <c r="H525" s="66"/>
      <c r="I525" s="66" t="s">
        <v>185</v>
      </c>
      <c r="J525" s="452">
        <v>1100000</v>
      </c>
      <c r="K525" s="204"/>
      <c r="L525" s="217">
        <f>SUM(J525:K525)</f>
        <v>1100000</v>
      </c>
      <c r="M525" s="217"/>
      <c r="N525" s="217"/>
      <c r="O525" s="217"/>
      <c r="P525" s="217"/>
      <c r="Q525" s="217"/>
      <c r="R525" s="217"/>
      <c r="S525" s="217">
        <f t="shared" ref="S525" si="556">SUM(M525:R525)</f>
        <v>0</v>
      </c>
      <c r="T525" s="217">
        <f t="shared" ref="T525" si="557">S525+L525</f>
        <v>1100000</v>
      </c>
      <c r="U525" s="217"/>
      <c r="V525" s="217"/>
      <c r="W525" s="217"/>
      <c r="X525" s="217"/>
      <c r="Y525" s="217"/>
      <c r="Z525" s="217">
        <f>SUM(U525:Y525)</f>
        <v>0</v>
      </c>
      <c r="AA525" s="217">
        <f>Z525+T525</f>
        <v>1100000</v>
      </c>
      <c r="AB525" s="217"/>
      <c r="AC525" s="217"/>
      <c r="AD525" s="217"/>
      <c r="AE525" s="217"/>
      <c r="AF525" s="217"/>
      <c r="AG525" s="217">
        <f t="shared" ref="AG525" si="558">SUM(AB525:AF525)</f>
        <v>0</v>
      </c>
      <c r="AH525" s="217">
        <f t="shared" ref="AH525" si="559">AG525+AA525</f>
        <v>1100000</v>
      </c>
      <c r="AI525" s="217">
        <v>1100000</v>
      </c>
      <c r="AJ525" s="764">
        <f>AI525/AH525*100</f>
        <v>100</v>
      </c>
    </row>
    <row r="526" spans="1:36" ht="14.25" customHeight="1">
      <c r="A526" s="40"/>
      <c r="B526" s="40"/>
      <c r="C526" s="124"/>
      <c r="D526" s="124"/>
      <c r="E526" s="124"/>
      <c r="F526" s="41"/>
      <c r="G526" s="41"/>
      <c r="H526" s="66"/>
      <c r="I526" s="66"/>
      <c r="J526" s="452"/>
      <c r="K526" s="204"/>
      <c r="L526" s="217"/>
      <c r="M526" s="217"/>
      <c r="N526" s="217"/>
      <c r="O526" s="217"/>
      <c r="P526" s="217"/>
      <c r="Q526" s="217"/>
      <c r="R526" s="217"/>
      <c r="S526" s="454"/>
      <c r="T526" s="454"/>
      <c r="U526" s="217"/>
      <c r="V526" s="217"/>
      <c r="W526" s="217"/>
      <c r="X526" s="217"/>
      <c r="Y526" s="217"/>
      <c r="Z526" s="454"/>
      <c r="AA526" s="454"/>
      <c r="AB526" s="217"/>
      <c r="AC526" s="217"/>
      <c r="AD526" s="217"/>
      <c r="AE526" s="217"/>
      <c r="AF526" s="217"/>
      <c r="AG526" s="454"/>
      <c r="AH526" s="454"/>
      <c r="AI526" s="454"/>
      <c r="AJ526" s="769"/>
    </row>
    <row r="527" spans="1:36" ht="14.25" customHeight="1">
      <c r="A527" s="40"/>
      <c r="B527" s="40"/>
      <c r="C527" s="124"/>
      <c r="D527" s="124"/>
      <c r="E527" s="124"/>
      <c r="F527" s="173"/>
      <c r="G527" s="64"/>
      <c r="H527" s="65"/>
      <c r="I527" s="64" t="s">
        <v>38</v>
      </c>
      <c r="J527" s="333">
        <f>SUM(J525:J526)</f>
        <v>1100000</v>
      </c>
      <c r="K527" s="457"/>
      <c r="L527" s="458">
        <f>SUM(J527:K527)</f>
        <v>1100000</v>
      </c>
      <c r="M527" s="458">
        <f t="shared" ref="M527:T527" si="560">SUM(M525:M526)</f>
        <v>0</v>
      </c>
      <c r="N527" s="458">
        <f t="shared" si="560"/>
        <v>0</v>
      </c>
      <c r="O527" s="458">
        <f t="shared" si="560"/>
        <v>0</v>
      </c>
      <c r="P527" s="458">
        <f t="shared" si="560"/>
        <v>0</v>
      </c>
      <c r="Q527" s="458">
        <f t="shared" si="560"/>
        <v>0</v>
      </c>
      <c r="R527" s="458">
        <f t="shared" si="560"/>
        <v>0</v>
      </c>
      <c r="S527" s="458">
        <f t="shared" si="560"/>
        <v>0</v>
      </c>
      <c r="T527" s="458">
        <f t="shared" si="560"/>
        <v>1100000</v>
      </c>
      <c r="U527" s="458"/>
      <c r="V527" s="458"/>
      <c r="W527" s="458"/>
      <c r="X527" s="458"/>
      <c r="Y527" s="458"/>
      <c r="Z527" s="458">
        <f t="shared" ref="Z527:AA527" si="561">SUM(Z525:Z526)</f>
        <v>0</v>
      </c>
      <c r="AA527" s="458">
        <f t="shared" si="561"/>
        <v>1100000</v>
      </c>
      <c r="AB527" s="458"/>
      <c r="AC527" s="458"/>
      <c r="AD527" s="458"/>
      <c r="AE527" s="458"/>
      <c r="AF527" s="458"/>
      <c r="AG527" s="458">
        <f t="shared" ref="AG527:AI527" si="562">SUM(AG525:AG526)</f>
        <v>0</v>
      </c>
      <c r="AH527" s="458">
        <f t="shared" si="562"/>
        <v>1100000</v>
      </c>
      <c r="AI527" s="458">
        <f t="shared" si="562"/>
        <v>1100000</v>
      </c>
      <c r="AJ527" s="770">
        <f>AI527/AH527*100</f>
        <v>100</v>
      </c>
    </row>
    <row r="528" spans="1:36" ht="14.25" customHeight="1">
      <c r="A528" s="40"/>
      <c r="B528" s="40"/>
      <c r="C528" s="124"/>
      <c r="D528" s="124"/>
      <c r="E528" s="124"/>
      <c r="F528" s="41"/>
      <c r="G528" s="41"/>
      <c r="H528" s="66"/>
      <c r="I528" s="41"/>
      <c r="J528" s="126"/>
      <c r="K528" s="204"/>
      <c r="L528" s="205"/>
      <c r="M528" s="205"/>
      <c r="N528" s="205"/>
      <c r="O528" s="205"/>
      <c r="P528" s="205"/>
      <c r="Q528" s="205"/>
      <c r="R528" s="205"/>
      <c r="S528" s="205"/>
      <c r="T528" s="205"/>
      <c r="U528" s="205"/>
      <c r="V528" s="205"/>
      <c r="W528" s="205"/>
      <c r="X528" s="205"/>
      <c r="Y528" s="205"/>
      <c r="Z528" s="205"/>
      <c r="AA528" s="205"/>
      <c r="AB528" s="205"/>
      <c r="AC528" s="205"/>
      <c r="AD528" s="205"/>
      <c r="AE528" s="205"/>
      <c r="AF528" s="205"/>
      <c r="AG528" s="205"/>
      <c r="AH528" s="205"/>
      <c r="AI528" s="205"/>
      <c r="AJ528" s="747"/>
    </row>
    <row r="529" spans="1:36" ht="14.25" customHeight="1">
      <c r="A529" s="40"/>
      <c r="B529" s="40">
        <v>9</v>
      </c>
      <c r="C529" s="124"/>
      <c r="D529" s="124"/>
      <c r="E529" s="124"/>
      <c r="F529" s="41"/>
      <c r="G529" s="935" t="s">
        <v>161</v>
      </c>
      <c r="H529" s="935"/>
      <c r="I529" s="936"/>
      <c r="J529" s="126"/>
      <c r="K529" s="204"/>
      <c r="L529" s="205"/>
      <c r="M529" s="205"/>
      <c r="N529" s="205"/>
      <c r="O529" s="205"/>
      <c r="P529" s="205"/>
      <c r="Q529" s="205"/>
      <c r="R529" s="205"/>
      <c r="S529" s="205"/>
      <c r="T529" s="205"/>
      <c r="U529" s="205"/>
      <c r="V529" s="205"/>
      <c r="W529" s="205"/>
      <c r="X529" s="205"/>
      <c r="Y529" s="205"/>
      <c r="Z529" s="205"/>
      <c r="AA529" s="205"/>
      <c r="AB529" s="205"/>
      <c r="AC529" s="205"/>
      <c r="AD529" s="205"/>
      <c r="AE529" s="205"/>
      <c r="AF529" s="205"/>
      <c r="AG529" s="205"/>
      <c r="AH529" s="205"/>
      <c r="AI529" s="205"/>
      <c r="AJ529" s="747"/>
    </row>
    <row r="530" spans="1:36" ht="14.25" customHeight="1">
      <c r="A530" s="40"/>
      <c r="B530" s="40"/>
      <c r="C530" s="124">
        <v>1</v>
      </c>
      <c r="D530" s="124"/>
      <c r="E530" s="124"/>
      <c r="F530" s="41"/>
      <c r="G530" s="41"/>
      <c r="H530" s="66" t="s">
        <v>35</v>
      </c>
      <c r="I530" s="41"/>
      <c r="J530" s="126"/>
      <c r="K530" s="204"/>
      <c r="L530" s="205"/>
      <c r="M530" s="205"/>
      <c r="N530" s="205"/>
      <c r="O530" s="205"/>
      <c r="P530" s="205"/>
      <c r="Q530" s="205"/>
      <c r="R530" s="205"/>
      <c r="S530" s="205"/>
      <c r="T530" s="205"/>
      <c r="U530" s="205"/>
      <c r="V530" s="205"/>
      <c r="W530" s="205"/>
      <c r="X530" s="205"/>
      <c r="Y530" s="205"/>
      <c r="Z530" s="205"/>
      <c r="AA530" s="205"/>
      <c r="AB530" s="205"/>
      <c r="AC530" s="205"/>
      <c r="AD530" s="205"/>
      <c r="AE530" s="205"/>
      <c r="AF530" s="205"/>
      <c r="AG530" s="205"/>
      <c r="AH530" s="205"/>
      <c r="AI530" s="205"/>
      <c r="AJ530" s="747"/>
    </row>
    <row r="531" spans="1:36" ht="14.25" customHeight="1">
      <c r="A531" s="40"/>
      <c r="B531" s="40"/>
      <c r="C531" s="124"/>
      <c r="D531" s="411">
        <v>1</v>
      </c>
      <c r="E531" s="124" t="s">
        <v>198</v>
      </c>
      <c r="F531" s="412"/>
      <c r="G531" s="36"/>
      <c r="H531" s="162"/>
      <c r="I531" s="162" t="s">
        <v>180</v>
      </c>
      <c r="J531" s="452">
        <v>1000000</v>
      </c>
      <c r="K531" s="204"/>
      <c r="L531" s="217">
        <f>SUM(J531:K531)</f>
        <v>1000000</v>
      </c>
      <c r="M531" s="217"/>
      <c r="N531" s="217"/>
      <c r="O531" s="217"/>
      <c r="P531" s="217"/>
      <c r="Q531" s="217">
        <v>-280000</v>
      </c>
      <c r="R531" s="217"/>
      <c r="S531" s="217">
        <f t="shared" ref="S531:S534" si="563">SUM(M531:R531)</f>
        <v>-280000</v>
      </c>
      <c r="T531" s="217">
        <f t="shared" ref="T531:T534" si="564">S531+L531</f>
        <v>720000</v>
      </c>
      <c r="U531" s="217"/>
      <c r="V531" s="217"/>
      <c r="W531" s="217"/>
      <c r="X531" s="217">
        <v>-57708</v>
      </c>
      <c r="Y531" s="217"/>
      <c r="Z531" s="217">
        <f>SUM(U531:Y531)</f>
        <v>-57708</v>
      </c>
      <c r="AA531" s="217">
        <f>Z531+T531</f>
        <v>662292</v>
      </c>
      <c r="AB531" s="217"/>
      <c r="AC531" s="217"/>
      <c r="AD531" s="217"/>
      <c r="AE531" s="217"/>
      <c r="AF531" s="217"/>
      <c r="AG531" s="217">
        <f t="shared" ref="AG531:AG533" si="565">SUM(AB531:AF531)</f>
        <v>0</v>
      </c>
      <c r="AH531" s="217">
        <f t="shared" ref="AH531:AH533" si="566">AG531+AA531</f>
        <v>662292</v>
      </c>
      <c r="AI531" s="217">
        <v>570214</v>
      </c>
      <c r="AJ531" s="764">
        <f t="shared" ref="AJ531:AJ534" si="567">AI531/AH531*100</f>
        <v>86.097068966558552</v>
      </c>
    </row>
    <row r="532" spans="1:36" ht="14.25" customHeight="1">
      <c r="A532" s="40"/>
      <c r="B532" s="40"/>
      <c r="C532" s="124"/>
      <c r="D532" s="411">
        <v>2</v>
      </c>
      <c r="E532" s="124" t="s">
        <v>198</v>
      </c>
      <c r="F532" s="412"/>
      <c r="G532" s="36"/>
      <c r="H532" s="162"/>
      <c r="I532" s="162" t="s">
        <v>182</v>
      </c>
      <c r="J532" s="452">
        <v>517017</v>
      </c>
      <c r="K532" s="204"/>
      <c r="L532" s="217">
        <f>SUM(J532:K532)</f>
        <v>517017</v>
      </c>
      <c r="M532" s="217">
        <v>203526</v>
      </c>
      <c r="N532" s="217"/>
      <c r="O532" s="217"/>
      <c r="P532" s="217"/>
      <c r="Q532" s="217"/>
      <c r="R532" s="217"/>
      <c r="S532" s="217">
        <f t="shared" si="563"/>
        <v>203526</v>
      </c>
      <c r="T532" s="217">
        <f t="shared" si="564"/>
        <v>720543</v>
      </c>
      <c r="U532" s="217"/>
      <c r="V532" s="217"/>
      <c r="W532" s="217"/>
      <c r="X532" s="217"/>
      <c r="Y532" s="217"/>
      <c r="Z532" s="217">
        <f>SUM(U532:Y532)</f>
        <v>0</v>
      </c>
      <c r="AA532" s="217">
        <f>Z532+T532</f>
        <v>720543</v>
      </c>
      <c r="AB532" s="217"/>
      <c r="AC532" s="217"/>
      <c r="AD532" s="217"/>
      <c r="AE532" s="217"/>
      <c r="AF532" s="217"/>
      <c r="AG532" s="217">
        <f t="shared" si="565"/>
        <v>0</v>
      </c>
      <c r="AH532" s="217">
        <f t="shared" si="566"/>
        <v>720543</v>
      </c>
      <c r="AI532" s="217">
        <v>68121</v>
      </c>
      <c r="AJ532" s="764">
        <f t="shared" si="567"/>
        <v>9.4541200178198945</v>
      </c>
    </row>
    <row r="533" spans="1:36" ht="14.25" customHeight="1">
      <c r="A533" s="40"/>
      <c r="B533" s="40"/>
      <c r="C533" s="124"/>
      <c r="D533" s="124">
        <v>3</v>
      </c>
      <c r="E533" s="124" t="s">
        <v>198</v>
      </c>
      <c r="F533" s="451"/>
      <c r="G533" s="41"/>
      <c r="H533" s="66"/>
      <c r="I533" s="66" t="s">
        <v>116</v>
      </c>
      <c r="J533" s="452">
        <v>1182983</v>
      </c>
      <c r="K533" s="204"/>
      <c r="L533" s="217">
        <f t="shared" ref="L533:L534" si="568">SUM(J533:K533)</f>
        <v>1182983</v>
      </c>
      <c r="M533" s="217">
        <v>1717040</v>
      </c>
      <c r="N533" s="217"/>
      <c r="O533" s="217"/>
      <c r="P533" s="217"/>
      <c r="Q533" s="217">
        <v>635000</v>
      </c>
      <c r="R533" s="217"/>
      <c r="S533" s="217">
        <f t="shared" si="563"/>
        <v>2352040</v>
      </c>
      <c r="T533" s="217">
        <f t="shared" si="564"/>
        <v>3535023</v>
      </c>
      <c r="U533" s="217"/>
      <c r="V533" s="217"/>
      <c r="W533" s="217"/>
      <c r="X533" s="217">
        <v>-3802</v>
      </c>
      <c r="Y533" s="217"/>
      <c r="Z533" s="217">
        <f>SUM(U533:Y533)</f>
        <v>-3802</v>
      </c>
      <c r="AA533" s="217">
        <f>Z533+T533</f>
        <v>3531221</v>
      </c>
      <c r="AB533" s="217"/>
      <c r="AC533" s="217"/>
      <c r="AD533" s="217"/>
      <c r="AE533" s="217">
        <v>-396130</v>
      </c>
      <c r="AF533" s="217"/>
      <c r="AG533" s="217">
        <f t="shared" si="565"/>
        <v>-396130</v>
      </c>
      <c r="AH533" s="217">
        <f t="shared" si="566"/>
        <v>3135091</v>
      </c>
      <c r="AI533" s="217">
        <v>2630483</v>
      </c>
      <c r="AJ533" s="764">
        <f t="shared" si="567"/>
        <v>83.904518242054209</v>
      </c>
    </row>
    <row r="534" spans="1:36" ht="14.25" customHeight="1">
      <c r="A534" s="40"/>
      <c r="B534" s="40"/>
      <c r="C534" s="124"/>
      <c r="D534" s="124">
        <v>5</v>
      </c>
      <c r="E534" s="124" t="s">
        <v>198</v>
      </c>
      <c r="F534" s="41"/>
      <c r="G534" s="41"/>
      <c r="H534" s="66"/>
      <c r="I534" s="66" t="s">
        <v>185</v>
      </c>
      <c r="J534" s="452">
        <v>800000</v>
      </c>
      <c r="K534" s="204"/>
      <c r="L534" s="217">
        <f t="shared" si="568"/>
        <v>800000</v>
      </c>
      <c r="M534" s="217">
        <v>300000</v>
      </c>
      <c r="N534" s="217"/>
      <c r="O534" s="217"/>
      <c r="P534" s="217"/>
      <c r="Q534" s="217"/>
      <c r="R534" s="217"/>
      <c r="S534" s="217">
        <f t="shared" si="563"/>
        <v>300000</v>
      </c>
      <c r="T534" s="217">
        <f t="shared" si="564"/>
        <v>1100000</v>
      </c>
      <c r="U534" s="217"/>
      <c r="V534" s="217">
        <v>1000000</v>
      </c>
      <c r="W534" s="217"/>
      <c r="X534" s="217"/>
      <c r="Y534" s="217"/>
      <c r="Z534" s="217">
        <f>SUM(U534:Y534)</f>
        <v>1000000</v>
      </c>
      <c r="AA534" s="217">
        <f>Z534+T534</f>
        <v>2100000</v>
      </c>
      <c r="AB534" s="217"/>
      <c r="AC534" s="217"/>
      <c r="AD534" s="217"/>
      <c r="AE534" s="217"/>
      <c r="AF534" s="217"/>
      <c r="AG534" s="217">
        <f t="shared" ref="AG534" si="569">SUM(AB534:AF534)</f>
        <v>0</v>
      </c>
      <c r="AH534" s="217">
        <f t="shared" ref="AH534" si="570">AG534+AA534</f>
        <v>2100000</v>
      </c>
      <c r="AI534" s="217">
        <v>1630000</v>
      </c>
      <c r="AJ534" s="764">
        <f t="shared" si="567"/>
        <v>77.61904761904762</v>
      </c>
    </row>
    <row r="535" spans="1:36" ht="14">
      <c r="A535" s="160"/>
      <c r="B535" s="160"/>
      <c r="C535" s="161"/>
      <c r="D535" s="161"/>
      <c r="E535" s="161"/>
      <c r="F535" s="41"/>
      <c r="G535" s="41"/>
      <c r="H535" s="66"/>
      <c r="I535" s="66"/>
      <c r="J535" s="454"/>
      <c r="K535" s="204"/>
      <c r="L535" s="217"/>
      <c r="M535" s="217"/>
      <c r="N535" s="217"/>
      <c r="O535" s="217"/>
      <c r="P535" s="217"/>
      <c r="Q535" s="217"/>
      <c r="R535" s="217"/>
      <c r="S535" s="454"/>
      <c r="T535" s="454"/>
      <c r="U535" s="217"/>
      <c r="V535" s="217"/>
      <c r="W535" s="217"/>
      <c r="X535" s="217"/>
      <c r="Y535" s="217"/>
      <c r="Z535" s="454"/>
      <c r="AA535" s="454"/>
      <c r="AB535" s="217"/>
      <c r="AC535" s="217"/>
      <c r="AD535" s="217"/>
      <c r="AE535" s="217"/>
      <c r="AF535" s="217"/>
      <c r="AG535" s="454"/>
      <c r="AH535" s="454"/>
      <c r="AI535" s="454"/>
      <c r="AJ535" s="769"/>
    </row>
    <row r="536" spans="1:36" ht="14">
      <c r="A536" s="40"/>
      <c r="B536" s="40"/>
      <c r="C536" s="124"/>
      <c r="D536" s="124"/>
      <c r="E536" s="124"/>
      <c r="F536" s="173"/>
      <c r="G536" s="64"/>
      <c r="H536" s="65"/>
      <c r="I536" s="64" t="s">
        <v>38</v>
      </c>
      <c r="J536" s="333">
        <f t="shared" ref="J536:T536" si="571">SUM(J531:J534)</f>
        <v>3500000</v>
      </c>
      <c r="K536" s="457">
        <f t="shared" si="571"/>
        <v>0</v>
      </c>
      <c r="L536" s="458">
        <f t="shared" si="571"/>
        <v>3500000</v>
      </c>
      <c r="M536" s="458">
        <f t="shared" si="571"/>
        <v>2220566</v>
      </c>
      <c r="N536" s="458">
        <f t="shared" si="571"/>
        <v>0</v>
      </c>
      <c r="O536" s="458">
        <f t="shared" si="571"/>
        <v>0</v>
      </c>
      <c r="P536" s="458">
        <f t="shared" si="571"/>
        <v>0</v>
      </c>
      <c r="Q536" s="458">
        <f t="shared" si="571"/>
        <v>355000</v>
      </c>
      <c r="R536" s="458">
        <f t="shared" si="571"/>
        <v>0</v>
      </c>
      <c r="S536" s="458">
        <f t="shared" si="571"/>
        <v>2575566</v>
      </c>
      <c r="T536" s="458">
        <f t="shared" si="571"/>
        <v>6075566</v>
      </c>
      <c r="U536" s="458"/>
      <c r="V536" s="458">
        <f>SUM(V531:V534)</f>
        <v>1000000</v>
      </c>
      <c r="W536" s="458"/>
      <c r="X536" s="458">
        <f>SUM(X531:X534)</f>
        <v>-61510</v>
      </c>
      <c r="Y536" s="458"/>
      <c r="Z536" s="458">
        <f>SUM(Z531:Z534)</f>
        <v>938490</v>
      </c>
      <c r="AA536" s="458">
        <f>SUM(AA531:AA534)</f>
        <v>7014056</v>
      </c>
      <c r="AB536" s="458"/>
      <c r="AC536" s="458">
        <f>SUM(AC531:AC534)</f>
        <v>0</v>
      </c>
      <c r="AD536" s="458"/>
      <c r="AE536" s="458">
        <f>SUM(AE531:AE534)</f>
        <v>-396130</v>
      </c>
      <c r="AF536" s="458"/>
      <c r="AG536" s="458">
        <f>SUM(AG531:AG534)</f>
        <v>-396130</v>
      </c>
      <c r="AH536" s="458">
        <f>SUM(AH531:AH534)</f>
        <v>6617926</v>
      </c>
      <c r="AI536" s="458">
        <f>SUM(AI531:AI534)</f>
        <v>4898818</v>
      </c>
      <c r="AJ536" s="770">
        <f>AI536/AH536*100</f>
        <v>74.0234629398999</v>
      </c>
    </row>
    <row r="537" spans="1:36" ht="14">
      <c r="A537" s="40"/>
      <c r="B537" s="40"/>
      <c r="C537" s="124"/>
      <c r="D537" s="124"/>
      <c r="E537" s="124"/>
      <c r="F537" s="41"/>
      <c r="G537" s="41"/>
      <c r="H537" s="66"/>
      <c r="I537" s="41"/>
      <c r="J537" s="126"/>
      <c r="K537" s="204"/>
      <c r="L537" s="205"/>
      <c r="M537" s="205"/>
      <c r="N537" s="205"/>
      <c r="O537" s="205"/>
      <c r="P537" s="205"/>
      <c r="Q537" s="205"/>
      <c r="R537" s="205"/>
      <c r="S537" s="205"/>
      <c r="T537" s="205"/>
      <c r="U537" s="205"/>
      <c r="V537" s="205"/>
      <c r="W537" s="205"/>
      <c r="X537" s="205"/>
      <c r="Y537" s="205"/>
      <c r="Z537" s="205"/>
      <c r="AA537" s="205"/>
      <c r="AB537" s="205"/>
      <c r="AC537" s="205"/>
      <c r="AD537" s="205"/>
      <c r="AE537" s="205"/>
      <c r="AF537" s="205"/>
      <c r="AG537" s="205"/>
      <c r="AH537" s="205"/>
      <c r="AI537" s="205"/>
      <c r="AJ537" s="747"/>
    </row>
    <row r="538" spans="1:36" ht="30.75" customHeight="1">
      <c r="A538" s="40"/>
      <c r="B538" s="40">
        <v>10</v>
      </c>
      <c r="C538" s="124"/>
      <c r="D538" s="124"/>
      <c r="E538" s="124"/>
      <c r="F538" s="41"/>
      <c r="G538" s="935" t="s">
        <v>351</v>
      </c>
      <c r="H538" s="935"/>
      <c r="I538" s="936"/>
      <c r="J538" s="126"/>
      <c r="K538" s="204"/>
      <c r="L538" s="205"/>
      <c r="M538" s="205"/>
      <c r="N538" s="205"/>
      <c r="O538" s="205"/>
      <c r="P538" s="205"/>
      <c r="Q538" s="205"/>
      <c r="R538" s="205"/>
      <c r="S538" s="205"/>
      <c r="T538" s="205"/>
      <c r="U538" s="205"/>
      <c r="V538" s="205"/>
      <c r="W538" s="205"/>
      <c r="X538" s="205"/>
      <c r="Y538" s="205"/>
      <c r="Z538" s="205"/>
      <c r="AA538" s="205"/>
      <c r="AB538" s="205"/>
      <c r="AC538" s="205"/>
      <c r="AD538" s="205"/>
      <c r="AE538" s="205"/>
      <c r="AF538" s="205"/>
      <c r="AG538" s="205"/>
      <c r="AH538" s="205"/>
      <c r="AI538" s="205"/>
      <c r="AJ538" s="747"/>
    </row>
    <row r="539" spans="1:36" ht="14">
      <c r="A539" s="40"/>
      <c r="B539" s="40"/>
      <c r="C539" s="124">
        <v>1</v>
      </c>
      <c r="D539" s="124"/>
      <c r="E539" s="124"/>
      <c r="F539" s="41"/>
      <c r="G539" s="41"/>
      <c r="H539" s="66" t="s">
        <v>35</v>
      </c>
      <c r="I539" s="41"/>
      <c r="J539" s="126"/>
      <c r="K539" s="204"/>
      <c r="L539" s="205"/>
      <c r="M539" s="205"/>
      <c r="N539" s="205"/>
      <c r="O539" s="205"/>
      <c r="P539" s="205"/>
      <c r="Q539" s="205"/>
      <c r="R539" s="205"/>
      <c r="S539" s="205"/>
      <c r="T539" s="205"/>
      <c r="U539" s="205"/>
      <c r="V539" s="205"/>
      <c r="W539" s="205"/>
      <c r="X539" s="205"/>
      <c r="Y539" s="205"/>
      <c r="Z539" s="205"/>
      <c r="AA539" s="205"/>
      <c r="AB539" s="205"/>
      <c r="AC539" s="205"/>
      <c r="AD539" s="205"/>
      <c r="AE539" s="205"/>
      <c r="AF539" s="205"/>
      <c r="AG539" s="205"/>
      <c r="AH539" s="205"/>
      <c r="AI539" s="205"/>
      <c r="AJ539" s="747"/>
    </row>
    <row r="540" spans="1:36" ht="14">
      <c r="A540" s="40"/>
      <c r="B540" s="40"/>
      <c r="C540" s="124"/>
      <c r="D540" s="124">
        <v>5</v>
      </c>
      <c r="E540" s="124" t="s">
        <v>198</v>
      </c>
      <c r="F540" s="41"/>
      <c r="G540" s="41"/>
      <c r="H540" s="66"/>
      <c r="I540" s="66" t="s">
        <v>185</v>
      </c>
      <c r="J540" s="452">
        <v>3800000</v>
      </c>
      <c r="K540" s="204"/>
      <c r="L540" s="217">
        <f>SUM(J540:K540)</f>
        <v>3800000</v>
      </c>
      <c r="M540" s="217"/>
      <c r="N540" s="217"/>
      <c r="O540" s="217"/>
      <c r="P540" s="217"/>
      <c r="Q540" s="217"/>
      <c r="R540" s="217"/>
      <c r="S540" s="217">
        <f t="shared" ref="S540" si="572">SUM(M540:R540)</f>
        <v>0</v>
      </c>
      <c r="T540" s="217">
        <f t="shared" ref="T540" si="573">S540+L540</f>
        <v>3800000</v>
      </c>
      <c r="U540" s="217"/>
      <c r="V540" s="217"/>
      <c r="W540" s="217"/>
      <c r="X540" s="217"/>
      <c r="Y540" s="217"/>
      <c r="Z540" s="217">
        <f>SUM(U540:Y540)</f>
        <v>0</v>
      </c>
      <c r="AA540" s="217">
        <f>Z540+T540</f>
        <v>3800000</v>
      </c>
      <c r="AB540" s="217"/>
      <c r="AC540" s="217">
        <v>500000</v>
      </c>
      <c r="AD540" s="217"/>
      <c r="AE540" s="217"/>
      <c r="AF540" s="217"/>
      <c r="AG540" s="217">
        <f t="shared" ref="AG540" si="574">SUM(AB540:AF540)</f>
        <v>500000</v>
      </c>
      <c r="AH540" s="217">
        <f t="shared" ref="AH540" si="575">AG540+AA540</f>
        <v>4300000</v>
      </c>
      <c r="AI540" s="217">
        <v>3800000</v>
      </c>
      <c r="AJ540" s="764">
        <f>AI540/AH540*100</f>
        <v>88.372093023255815</v>
      </c>
    </row>
    <row r="541" spans="1:36" ht="7.5" customHeight="1">
      <c r="A541" s="40"/>
      <c r="B541" s="40"/>
      <c r="C541" s="124"/>
      <c r="D541" s="124"/>
      <c r="E541" s="124"/>
      <c r="F541" s="41"/>
      <c r="G541" s="41"/>
      <c r="H541" s="66"/>
      <c r="I541" s="66"/>
      <c r="J541" s="452"/>
      <c r="K541" s="204"/>
      <c r="L541" s="217"/>
      <c r="M541" s="217"/>
      <c r="N541" s="217"/>
      <c r="O541" s="217"/>
      <c r="P541" s="217"/>
      <c r="Q541" s="217"/>
      <c r="R541" s="217"/>
      <c r="S541" s="454"/>
      <c r="T541" s="454"/>
      <c r="U541" s="217"/>
      <c r="V541" s="217"/>
      <c r="W541" s="217"/>
      <c r="X541" s="217"/>
      <c r="Y541" s="217"/>
      <c r="Z541" s="454"/>
      <c r="AA541" s="454"/>
      <c r="AB541" s="217"/>
      <c r="AC541" s="217"/>
      <c r="AD541" s="217"/>
      <c r="AE541" s="217"/>
      <c r="AF541" s="217"/>
      <c r="AG541" s="454"/>
      <c r="AH541" s="454"/>
      <c r="AI541" s="454"/>
      <c r="AJ541" s="769"/>
    </row>
    <row r="542" spans="1:36" ht="14">
      <c r="A542" s="40"/>
      <c r="B542" s="40"/>
      <c r="C542" s="124"/>
      <c r="D542" s="124"/>
      <c r="E542" s="124"/>
      <c r="F542" s="173"/>
      <c r="G542" s="64"/>
      <c r="H542" s="65"/>
      <c r="I542" s="64" t="s">
        <v>38</v>
      </c>
      <c r="J542" s="333">
        <f>SUM(J540:J541)</f>
        <v>3800000</v>
      </c>
      <c r="K542" s="457"/>
      <c r="L542" s="458">
        <f t="shared" ref="L542:T542" si="576">SUM(L540:L541)</f>
        <v>3800000</v>
      </c>
      <c r="M542" s="458">
        <f t="shared" si="576"/>
        <v>0</v>
      </c>
      <c r="N542" s="458">
        <f t="shared" si="576"/>
        <v>0</v>
      </c>
      <c r="O542" s="458">
        <f t="shared" si="576"/>
        <v>0</v>
      </c>
      <c r="P542" s="458">
        <f t="shared" si="576"/>
        <v>0</v>
      </c>
      <c r="Q542" s="458">
        <f t="shared" si="576"/>
        <v>0</v>
      </c>
      <c r="R542" s="458">
        <f t="shared" si="576"/>
        <v>0</v>
      </c>
      <c r="S542" s="458">
        <f t="shared" si="576"/>
        <v>0</v>
      </c>
      <c r="T542" s="458">
        <f t="shared" si="576"/>
        <v>3800000</v>
      </c>
      <c r="U542" s="458"/>
      <c r="V542" s="458"/>
      <c r="W542" s="458"/>
      <c r="X542" s="458"/>
      <c r="Y542" s="458"/>
      <c r="Z542" s="458">
        <f t="shared" ref="Z542:AA542" si="577">SUM(Z540:Z541)</f>
        <v>0</v>
      </c>
      <c r="AA542" s="458">
        <f t="shared" si="577"/>
        <v>3800000</v>
      </c>
      <c r="AB542" s="458"/>
      <c r="AC542" s="458">
        <f t="shared" ref="AC542" si="578">SUM(AC540:AC541)</f>
        <v>500000</v>
      </c>
      <c r="AD542" s="458"/>
      <c r="AE542" s="458"/>
      <c r="AF542" s="458"/>
      <c r="AG542" s="458">
        <f t="shared" ref="AG542:AI542" si="579">SUM(AG540:AG541)</f>
        <v>500000</v>
      </c>
      <c r="AH542" s="458">
        <f t="shared" si="579"/>
        <v>4300000</v>
      </c>
      <c r="AI542" s="458">
        <f t="shared" si="579"/>
        <v>3800000</v>
      </c>
      <c r="AJ542" s="770">
        <f>AI542/AH542*100</f>
        <v>88.372093023255815</v>
      </c>
    </row>
    <row r="543" spans="1:36" ht="7.5" customHeight="1">
      <c r="A543" s="40"/>
      <c r="B543" s="40"/>
      <c r="C543" s="124"/>
      <c r="D543" s="124"/>
      <c r="E543" s="124"/>
      <c r="F543" s="41"/>
      <c r="G543" s="41"/>
      <c r="H543" s="66"/>
      <c r="I543" s="41"/>
      <c r="J543" s="126"/>
      <c r="K543" s="204"/>
      <c r="L543" s="205"/>
      <c r="M543" s="205"/>
      <c r="N543" s="205"/>
      <c r="O543" s="205"/>
      <c r="P543" s="205"/>
      <c r="Q543" s="205"/>
      <c r="R543" s="205"/>
      <c r="S543" s="205"/>
      <c r="T543" s="205"/>
      <c r="U543" s="205"/>
      <c r="V543" s="205"/>
      <c r="W543" s="205"/>
      <c r="X543" s="205"/>
      <c r="Y543" s="205"/>
      <c r="Z543" s="205"/>
      <c r="AA543" s="205"/>
      <c r="AB543" s="205"/>
      <c r="AC543" s="205"/>
      <c r="AD543" s="205"/>
      <c r="AE543" s="205"/>
      <c r="AF543" s="205"/>
      <c r="AG543" s="205"/>
      <c r="AH543" s="205"/>
      <c r="AI543" s="205"/>
      <c r="AJ543" s="747"/>
    </row>
    <row r="544" spans="1:36" ht="30.75" customHeight="1">
      <c r="A544" s="40"/>
      <c r="B544" s="40">
        <v>11</v>
      </c>
      <c r="C544" s="124"/>
      <c r="D544" s="124"/>
      <c r="E544" s="124"/>
      <c r="F544" s="41"/>
      <c r="G544" s="935" t="s">
        <v>435</v>
      </c>
      <c r="H544" s="935"/>
      <c r="I544" s="936"/>
      <c r="J544" s="126"/>
      <c r="K544" s="204"/>
      <c r="L544" s="205"/>
      <c r="M544" s="205"/>
      <c r="N544" s="205"/>
      <c r="O544" s="205"/>
      <c r="P544" s="205"/>
      <c r="Q544" s="205"/>
      <c r="R544" s="205"/>
      <c r="S544" s="205"/>
      <c r="T544" s="205"/>
      <c r="U544" s="205"/>
      <c r="V544" s="205"/>
      <c r="W544" s="205"/>
      <c r="X544" s="205"/>
      <c r="Y544" s="205"/>
      <c r="Z544" s="205"/>
      <c r="AA544" s="205"/>
      <c r="AB544" s="205"/>
      <c r="AC544" s="205"/>
      <c r="AD544" s="205"/>
      <c r="AE544" s="205"/>
      <c r="AF544" s="205"/>
      <c r="AG544" s="205"/>
      <c r="AH544" s="205"/>
      <c r="AI544" s="205"/>
      <c r="AJ544" s="747"/>
    </row>
    <row r="545" spans="1:36" ht="14">
      <c r="A545" s="40"/>
      <c r="B545" s="40"/>
      <c r="C545" s="124">
        <v>1</v>
      </c>
      <c r="D545" s="124"/>
      <c r="E545" s="124"/>
      <c r="F545" s="41"/>
      <c r="G545" s="41"/>
      <c r="H545" s="66" t="s">
        <v>35</v>
      </c>
      <c r="I545" s="41"/>
      <c r="J545" s="126"/>
      <c r="K545" s="204"/>
      <c r="L545" s="205"/>
      <c r="M545" s="205"/>
      <c r="N545" s="205"/>
      <c r="O545" s="205"/>
      <c r="P545" s="205"/>
      <c r="Q545" s="205"/>
      <c r="R545" s="205"/>
      <c r="S545" s="205"/>
      <c r="T545" s="205"/>
      <c r="U545" s="205"/>
      <c r="V545" s="205"/>
      <c r="W545" s="205"/>
      <c r="X545" s="205"/>
      <c r="Y545" s="205"/>
      <c r="Z545" s="205"/>
      <c r="AA545" s="205"/>
      <c r="AB545" s="205"/>
      <c r="AC545" s="205"/>
      <c r="AD545" s="205"/>
      <c r="AE545" s="205"/>
      <c r="AF545" s="205"/>
      <c r="AG545" s="205"/>
      <c r="AH545" s="205"/>
      <c r="AI545" s="205"/>
      <c r="AJ545" s="747"/>
    </row>
    <row r="546" spans="1:36" ht="14">
      <c r="A546" s="40"/>
      <c r="B546" s="40"/>
      <c r="C546" s="124"/>
      <c r="D546" s="124">
        <v>5</v>
      </c>
      <c r="E546" s="124" t="s">
        <v>198</v>
      </c>
      <c r="F546" s="41"/>
      <c r="G546" s="41"/>
      <c r="H546" s="66"/>
      <c r="I546" s="66" t="s">
        <v>185</v>
      </c>
      <c r="J546" s="452">
        <v>950000</v>
      </c>
      <c r="K546" s="204"/>
      <c r="L546" s="217">
        <f>SUM(J546:K546)</f>
        <v>950000</v>
      </c>
      <c r="M546" s="217"/>
      <c r="N546" s="217"/>
      <c r="O546" s="217"/>
      <c r="P546" s="217"/>
      <c r="Q546" s="217"/>
      <c r="R546" s="217"/>
      <c r="S546" s="217">
        <f t="shared" ref="S546" si="580">SUM(M546:R546)</f>
        <v>0</v>
      </c>
      <c r="T546" s="217">
        <f t="shared" ref="T546" si="581">S546+L546</f>
        <v>950000</v>
      </c>
      <c r="U546" s="217"/>
      <c r="V546" s="217"/>
      <c r="W546" s="217"/>
      <c r="X546" s="217"/>
      <c r="Y546" s="217"/>
      <c r="Z546" s="217">
        <f>SUM(U546:Y546)</f>
        <v>0</v>
      </c>
      <c r="AA546" s="217">
        <f>Z546+T546</f>
        <v>950000</v>
      </c>
      <c r="AB546" s="217"/>
      <c r="AC546" s="217"/>
      <c r="AD546" s="217"/>
      <c r="AE546" s="217"/>
      <c r="AF546" s="217"/>
      <c r="AG546" s="217">
        <f t="shared" ref="AG546" si="582">SUM(AB546:AF546)</f>
        <v>0</v>
      </c>
      <c r="AH546" s="217">
        <f t="shared" ref="AH546" si="583">AG546+AA546</f>
        <v>950000</v>
      </c>
      <c r="AI546" s="217">
        <v>950000</v>
      </c>
      <c r="AJ546" s="764">
        <f>AI546/AH546*100</f>
        <v>100</v>
      </c>
    </row>
    <row r="547" spans="1:36" ht="8" customHeight="1">
      <c r="A547" s="40"/>
      <c r="B547" s="40"/>
      <c r="C547" s="124"/>
      <c r="D547" s="124"/>
      <c r="E547" s="124"/>
      <c r="F547" s="41"/>
      <c r="G547" s="41"/>
      <c r="H547" s="66"/>
      <c r="I547" s="66"/>
      <c r="J547" s="452"/>
      <c r="K547" s="204"/>
      <c r="L547" s="217"/>
      <c r="M547" s="217"/>
      <c r="N547" s="217"/>
      <c r="O547" s="217"/>
      <c r="P547" s="217"/>
      <c r="Q547" s="217"/>
      <c r="R547" s="217"/>
      <c r="S547" s="454"/>
      <c r="T547" s="454"/>
      <c r="U547" s="217"/>
      <c r="V547" s="217"/>
      <c r="W547" s="217"/>
      <c r="X547" s="217"/>
      <c r="Y547" s="217"/>
      <c r="Z547" s="454"/>
      <c r="AA547" s="454"/>
      <c r="AB547" s="217"/>
      <c r="AC547" s="217"/>
      <c r="AD547" s="217"/>
      <c r="AE547" s="217"/>
      <c r="AF547" s="217"/>
      <c r="AG547" s="454"/>
      <c r="AH547" s="454"/>
      <c r="AI547" s="454"/>
      <c r="AJ547" s="769"/>
    </row>
    <row r="548" spans="1:36" ht="14">
      <c r="A548" s="40"/>
      <c r="B548" s="40"/>
      <c r="C548" s="124"/>
      <c r="D548" s="124"/>
      <c r="E548" s="124"/>
      <c r="F548" s="173"/>
      <c r="G548" s="64"/>
      <c r="H548" s="65"/>
      <c r="I548" s="64" t="s">
        <v>38</v>
      </c>
      <c r="J548" s="333">
        <f>SUM(J546:J547)</f>
        <v>950000</v>
      </c>
      <c r="K548" s="457"/>
      <c r="L548" s="458">
        <f>SUM(J548:K548)</f>
        <v>950000</v>
      </c>
      <c r="M548" s="458">
        <f t="shared" ref="M548:T548" si="584">SUM(M546:M547)</f>
        <v>0</v>
      </c>
      <c r="N548" s="458">
        <f t="shared" si="584"/>
        <v>0</v>
      </c>
      <c r="O548" s="458">
        <f t="shared" si="584"/>
        <v>0</v>
      </c>
      <c r="P548" s="458">
        <f t="shared" si="584"/>
        <v>0</v>
      </c>
      <c r="Q548" s="458">
        <f t="shared" si="584"/>
        <v>0</v>
      </c>
      <c r="R548" s="458">
        <f t="shared" si="584"/>
        <v>0</v>
      </c>
      <c r="S548" s="458">
        <f t="shared" si="584"/>
        <v>0</v>
      </c>
      <c r="T548" s="458">
        <f t="shared" si="584"/>
        <v>950000</v>
      </c>
      <c r="U548" s="458"/>
      <c r="V548" s="458"/>
      <c r="W548" s="458"/>
      <c r="X548" s="458"/>
      <c r="Y548" s="458"/>
      <c r="Z548" s="458">
        <f t="shared" ref="Z548:AA548" si="585">SUM(Z546:Z547)</f>
        <v>0</v>
      </c>
      <c r="AA548" s="458">
        <f t="shared" si="585"/>
        <v>950000</v>
      </c>
      <c r="AB548" s="458"/>
      <c r="AC548" s="458"/>
      <c r="AD548" s="458"/>
      <c r="AE548" s="458"/>
      <c r="AF548" s="458"/>
      <c r="AG548" s="458">
        <f t="shared" ref="AG548:AI548" si="586">SUM(AG546:AG547)</f>
        <v>0</v>
      </c>
      <c r="AH548" s="458">
        <f t="shared" si="586"/>
        <v>950000</v>
      </c>
      <c r="AI548" s="458">
        <f t="shared" si="586"/>
        <v>950000</v>
      </c>
      <c r="AJ548" s="770">
        <f>AI548/AH548*100</f>
        <v>100</v>
      </c>
    </row>
    <row r="549" spans="1:36" ht="14">
      <c r="A549" s="40"/>
      <c r="B549" s="40"/>
      <c r="C549" s="124"/>
      <c r="D549" s="124"/>
      <c r="E549" s="124"/>
      <c r="F549" s="41"/>
      <c r="G549" s="41"/>
      <c r="H549" s="66"/>
      <c r="I549" s="41"/>
      <c r="J549" s="126"/>
      <c r="K549" s="204"/>
      <c r="L549" s="205"/>
      <c r="M549" s="205"/>
      <c r="N549" s="205"/>
      <c r="O549" s="205"/>
      <c r="P549" s="205"/>
      <c r="Q549" s="205"/>
      <c r="R549" s="205"/>
      <c r="S549" s="205"/>
      <c r="T549" s="205"/>
      <c r="U549" s="205"/>
      <c r="V549" s="205"/>
      <c r="W549" s="205"/>
      <c r="X549" s="205"/>
      <c r="Y549" s="205"/>
      <c r="Z549" s="205"/>
      <c r="AA549" s="205"/>
      <c r="AB549" s="205"/>
      <c r="AC549" s="205"/>
      <c r="AD549" s="205"/>
      <c r="AE549" s="205"/>
      <c r="AF549" s="205"/>
      <c r="AG549" s="205"/>
      <c r="AH549" s="205"/>
      <c r="AI549" s="205"/>
      <c r="AJ549" s="747"/>
    </row>
    <row r="550" spans="1:36" ht="14" customHeight="1">
      <c r="A550" s="40"/>
      <c r="B550" s="40">
        <v>12</v>
      </c>
      <c r="C550" s="124"/>
      <c r="D550" s="124"/>
      <c r="E550" s="124"/>
      <c r="F550" s="41"/>
      <c r="G550" s="935" t="s">
        <v>436</v>
      </c>
      <c r="H550" s="935"/>
      <c r="I550" s="936"/>
      <c r="J550" s="126"/>
      <c r="K550" s="204"/>
      <c r="L550" s="205"/>
      <c r="M550" s="205"/>
      <c r="N550" s="205"/>
      <c r="O550" s="205"/>
      <c r="P550" s="205"/>
      <c r="Q550" s="205"/>
      <c r="R550" s="205"/>
      <c r="S550" s="205"/>
      <c r="T550" s="205"/>
      <c r="U550" s="205"/>
      <c r="V550" s="205"/>
      <c r="W550" s="205"/>
      <c r="X550" s="205"/>
      <c r="Y550" s="205"/>
      <c r="Z550" s="205"/>
      <c r="AA550" s="205"/>
      <c r="AB550" s="205"/>
      <c r="AC550" s="205"/>
      <c r="AD550" s="205"/>
      <c r="AE550" s="205"/>
      <c r="AF550" s="205"/>
      <c r="AG550" s="205"/>
      <c r="AH550" s="205"/>
      <c r="AI550" s="205"/>
      <c r="AJ550" s="747"/>
    </row>
    <row r="551" spans="1:36" ht="14">
      <c r="A551" s="40"/>
      <c r="B551" s="40"/>
      <c r="C551" s="124">
        <v>1</v>
      </c>
      <c r="D551" s="124"/>
      <c r="E551" s="124"/>
      <c r="F551" s="41"/>
      <c r="G551" s="41"/>
      <c r="H551" s="66" t="s">
        <v>35</v>
      </c>
      <c r="I551" s="41"/>
      <c r="J551" s="126"/>
      <c r="K551" s="204"/>
      <c r="L551" s="205"/>
      <c r="M551" s="205"/>
      <c r="N551" s="205"/>
      <c r="O551" s="205"/>
      <c r="P551" s="205"/>
      <c r="Q551" s="205"/>
      <c r="R551" s="205"/>
      <c r="S551" s="205"/>
      <c r="T551" s="205"/>
      <c r="U551" s="205"/>
      <c r="V551" s="205"/>
      <c r="W551" s="205"/>
      <c r="X551" s="205"/>
      <c r="Y551" s="205"/>
      <c r="Z551" s="205"/>
      <c r="AA551" s="205"/>
      <c r="AB551" s="205"/>
      <c r="AC551" s="205"/>
      <c r="AD551" s="205"/>
      <c r="AE551" s="205"/>
      <c r="AF551" s="205"/>
      <c r="AG551" s="205"/>
      <c r="AH551" s="205"/>
      <c r="AI551" s="205"/>
      <c r="AJ551" s="747"/>
    </row>
    <row r="552" spans="1:36" ht="14">
      <c r="A552" s="40"/>
      <c r="B552" s="40"/>
      <c r="C552" s="124"/>
      <c r="D552" s="124">
        <v>5</v>
      </c>
      <c r="E552" s="124" t="s">
        <v>198</v>
      </c>
      <c r="F552" s="41"/>
      <c r="G552" s="41"/>
      <c r="H552" s="66"/>
      <c r="I552" s="66" t="s">
        <v>185</v>
      </c>
      <c r="J552" s="452">
        <v>450000</v>
      </c>
      <c r="K552" s="204"/>
      <c r="L552" s="217">
        <f>SUM(J552:K552)</f>
        <v>450000</v>
      </c>
      <c r="M552" s="217"/>
      <c r="N552" s="217"/>
      <c r="O552" s="217"/>
      <c r="P552" s="217"/>
      <c r="Q552" s="217"/>
      <c r="R552" s="217"/>
      <c r="S552" s="217">
        <f t="shared" ref="S552" si="587">SUM(M552:R552)</f>
        <v>0</v>
      </c>
      <c r="T552" s="217">
        <f t="shared" ref="T552" si="588">S552+L552</f>
        <v>450000</v>
      </c>
      <c r="U552" s="217"/>
      <c r="V552" s="217"/>
      <c r="W552" s="217"/>
      <c r="X552" s="217"/>
      <c r="Y552" s="217"/>
      <c r="Z552" s="217">
        <f>SUM(U552:Y552)</f>
        <v>0</v>
      </c>
      <c r="AA552" s="217">
        <f>Z552+T552</f>
        <v>450000</v>
      </c>
      <c r="AB552" s="217"/>
      <c r="AC552" s="217"/>
      <c r="AD552" s="217"/>
      <c r="AE552" s="217"/>
      <c r="AF552" s="217"/>
      <c r="AG552" s="217">
        <f t="shared" ref="AG552" si="589">SUM(AB552:AF552)</f>
        <v>0</v>
      </c>
      <c r="AH552" s="217">
        <f t="shared" ref="AH552" si="590">AG552+AA552</f>
        <v>450000</v>
      </c>
      <c r="AI552" s="217">
        <v>450000</v>
      </c>
      <c r="AJ552" s="764">
        <f>AI552/AH552*100</f>
        <v>100</v>
      </c>
    </row>
    <row r="553" spans="1:36" ht="12.5" customHeight="1">
      <c r="A553" s="40"/>
      <c r="B553" s="40"/>
      <c r="C553" s="124"/>
      <c r="D553" s="124"/>
      <c r="E553" s="124"/>
      <c r="F553" s="41"/>
      <c r="G553" s="41"/>
      <c r="H553" s="66"/>
      <c r="I553" s="66"/>
      <c r="J553" s="452"/>
      <c r="K553" s="204"/>
      <c r="L553" s="217"/>
      <c r="M553" s="217"/>
      <c r="N553" s="217"/>
      <c r="O553" s="217"/>
      <c r="P553" s="217"/>
      <c r="Q553" s="217"/>
      <c r="R553" s="217"/>
      <c r="S553" s="454"/>
      <c r="T553" s="454"/>
      <c r="U553" s="217"/>
      <c r="V553" s="217"/>
      <c r="W553" s="217"/>
      <c r="X553" s="217"/>
      <c r="Y553" s="217"/>
      <c r="Z553" s="454"/>
      <c r="AA553" s="454"/>
      <c r="AB553" s="217"/>
      <c r="AC553" s="217"/>
      <c r="AD553" s="217"/>
      <c r="AE553" s="217"/>
      <c r="AF553" s="217"/>
      <c r="AG553" s="454"/>
      <c r="AH553" s="454"/>
      <c r="AI553" s="454"/>
      <c r="AJ553" s="769"/>
    </row>
    <row r="554" spans="1:36" ht="12.5" customHeight="1">
      <c r="A554" s="40"/>
      <c r="B554" s="40"/>
      <c r="C554" s="124"/>
      <c r="D554" s="124"/>
      <c r="E554" s="124"/>
      <c r="F554" s="173"/>
      <c r="G554" s="64"/>
      <c r="H554" s="65"/>
      <c r="I554" s="64" t="s">
        <v>38</v>
      </c>
      <c r="J554" s="333">
        <f>SUM(J552:J553)</f>
        <v>450000</v>
      </c>
      <c r="K554" s="457"/>
      <c r="L554" s="458">
        <f t="shared" ref="L554:T554" si="591">SUM(L552:L553)</f>
        <v>450000</v>
      </c>
      <c r="M554" s="458">
        <f t="shared" si="591"/>
        <v>0</v>
      </c>
      <c r="N554" s="458">
        <f t="shared" si="591"/>
        <v>0</v>
      </c>
      <c r="O554" s="458">
        <f t="shared" si="591"/>
        <v>0</v>
      </c>
      <c r="P554" s="458">
        <f t="shared" si="591"/>
        <v>0</v>
      </c>
      <c r="Q554" s="458">
        <f t="shared" si="591"/>
        <v>0</v>
      </c>
      <c r="R554" s="458">
        <f t="shared" si="591"/>
        <v>0</v>
      </c>
      <c r="S554" s="458">
        <f t="shared" si="591"/>
        <v>0</v>
      </c>
      <c r="T554" s="458">
        <f t="shared" si="591"/>
        <v>450000</v>
      </c>
      <c r="U554" s="458"/>
      <c r="V554" s="458"/>
      <c r="W554" s="458"/>
      <c r="X554" s="458"/>
      <c r="Y554" s="458"/>
      <c r="Z554" s="458">
        <f t="shared" ref="Z554:AA554" si="592">SUM(Z552:Z553)</f>
        <v>0</v>
      </c>
      <c r="AA554" s="458">
        <f t="shared" si="592"/>
        <v>450000</v>
      </c>
      <c r="AB554" s="458"/>
      <c r="AC554" s="458"/>
      <c r="AD554" s="458"/>
      <c r="AE554" s="458"/>
      <c r="AF554" s="458"/>
      <c r="AG554" s="458">
        <f t="shared" ref="AG554:AH554" si="593">SUM(AG552:AG553)</f>
        <v>0</v>
      </c>
      <c r="AH554" s="458">
        <f t="shared" si="593"/>
        <v>450000</v>
      </c>
      <c r="AI554" s="458">
        <f t="shared" ref="AI554" si="594">SUM(AI552:AI553)</f>
        <v>450000</v>
      </c>
      <c r="AJ554" s="770">
        <f>AI554/AH554*100</f>
        <v>100</v>
      </c>
    </row>
    <row r="555" spans="1:36" ht="6" customHeight="1">
      <c r="A555" s="40"/>
      <c r="B555" s="40"/>
      <c r="C555" s="124"/>
      <c r="D555" s="124"/>
      <c r="E555" s="124"/>
      <c r="F555" s="41"/>
      <c r="G555" s="41"/>
      <c r="H555" s="66"/>
      <c r="I555" s="41"/>
      <c r="J555" s="126"/>
      <c r="K555" s="204"/>
      <c r="L555" s="205"/>
      <c r="M555" s="205"/>
      <c r="N555" s="205"/>
      <c r="O555" s="205"/>
      <c r="P555" s="205"/>
      <c r="Q555" s="205"/>
      <c r="R555" s="205"/>
      <c r="S555" s="205"/>
      <c r="T555" s="205"/>
      <c r="U555" s="205"/>
      <c r="V555" s="205"/>
      <c r="W555" s="205"/>
      <c r="X555" s="205"/>
      <c r="Y555" s="205"/>
      <c r="Z555" s="205"/>
      <c r="AA555" s="205"/>
      <c r="AB555" s="205"/>
      <c r="AC555" s="205"/>
      <c r="AD555" s="205"/>
      <c r="AE555" s="205"/>
      <c r="AF555" s="205"/>
      <c r="AG555" s="205"/>
      <c r="AH555" s="205"/>
      <c r="AI555" s="205"/>
      <c r="AJ555" s="747"/>
    </row>
    <row r="556" spans="1:36" ht="12.5" customHeight="1">
      <c r="A556" s="40"/>
      <c r="B556" s="40"/>
      <c r="C556" s="124"/>
      <c r="D556" s="124"/>
      <c r="E556" s="124"/>
      <c r="F556" s="173"/>
      <c r="G556" s="64"/>
      <c r="H556" s="65"/>
      <c r="I556" s="64" t="s">
        <v>37</v>
      </c>
      <c r="J556" s="333">
        <f t="shared" ref="J556:T556" si="595">SUM(J480:J554)/2</f>
        <v>37790000</v>
      </c>
      <c r="K556" s="457">
        <f t="shared" si="595"/>
        <v>0</v>
      </c>
      <c r="L556" s="458">
        <f t="shared" si="595"/>
        <v>37790000</v>
      </c>
      <c r="M556" s="458">
        <f t="shared" si="595"/>
        <v>2220566</v>
      </c>
      <c r="N556" s="458">
        <f t="shared" si="595"/>
        <v>0</v>
      </c>
      <c r="O556" s="458">
        <f t="shared" si="595"/>
        <v>0</v>
      </c>
      <c r="P556" s="458">
        <f t="shared" si="595"/>
        <v>0</v>
      </c>
      <c r="Q556" s="458">
        <f t="shared" si="595"/>
        <v>355000</v>
      </c>
      <c r="R556" s="458">
        <f t="shared" si="595"/>
        <v>0</v>
      </c>
      <c r="S556" s="458">
        <f t="shared" si="595"/>
        <v>2575566</v>
      </c>
      <c r="T556" s="458">
        <f t="shared" si="595"/>
        <v>40365566</v>
      </c>
      <c r="U556" s="458"/>
      <c r="V556" s="458">
        <f>SUM(V480:V554)/2</f>
        <v>1000000</v>
      </c>
      <c r="W556" s="458"/>
      <c r="X556" s="458">
        <f>SUM(X480:X554)/2</f>
        <v>-61510</v>
      </c>
      <c r="Y556" s="458"/>
      <c r="Z556" s="458">
        <f>SUM(Z480:Z554)/2</f>
        <v>938490</v>
      </c>
      <c r="AA556" s="458">
        <f>SUM(AA480:AA554)/2</f>
        <v>41304056</v>
      </c>
      <c r="AB556" s="458"/>
      <c r="AC556" s="458">
        <f>SUM(AC480:AC554)/2</f>
        <v>500000</v>
      </c>
      <c r="AD556" s="458"/>
      <c r="AE556" s="458">
        <f>SUM(AE480:AE554)/2</f>
        <v>-396130</v>
      </c>
      <c r="AF556" s="458"/>
      <c r="AG556" s="458">
        <f>SUM(AG480:AG554)/2</f>
        <v>103870</v>
      </c>
      <c r="AH556" s="458">
        <f>SUM(AH480:AH554)/2</f>
        <v>41407926</v>
      </c>
      <c r="AI556" s="458">
        <f>SUM(AI480:AI554)/2</f>
        <v>39188818</v>
      </c>
      <c r="AJ556" s="770">
        <f>AI556/AH556*100</f>
        <v>94.640861751926437</v>
      </c>
    </row>
    <row r="557" spans="1:36" ht="12.5" customHeight="1">
      <c r="A557" s="40"/>
      <c r="B557" s="40"/>
      <c r="C557" s="124"/>
      <c r="D557" s="124"/>
      <c r="E557" s="124"/>
      <c r="F557" s="451"/>
      <c r="G557" s="41"/>
      <c r="H557" s="66"/>
      <c r="I557" s="66"/>
      <c r="J557" s="128"/>
      <c r="K557" s="453"/>
      <c r="L557" s="217"/>
      <c r="M557" s="217"/>
      <c r="N557" s="217"/>
      <c r="O557" s="217"/>
      <c r="P557" s="217"/>
      <c r="Q557" s="217"/>
      <c r="R557" s="217"/>
      <c r="S557" s="217"/>
      <c r="T557" s="217"/>
      <c r="U557" s="217"/>
      <c r="V557" s="217"/>
      <c r="W557" s="217"/>
      <c r="X557" s="217"/>
      <c r="Y557" s="217"/>
      <c r="Z557" s="217"/>
      <c r="AA557" s="217"/>
      <c r="AB557" s="217"/>
      <c r="AC557" s="217"/>
      <c r="AD557" s="217"/>
      <c r="AE557" s="217"/>
      <c r="AF557" s="217"/>
      <c r="AG557" s="217"/>
      <c r="AH557" s="217"/>
      <c r="AI557" s="217"/>
      <c r="AJ557" s="764"/>
    </row>
    <row r="558" spans="1:36" ht="12.5" customHeight="1">
      <c r="A558" s="677">
        <v>15</v>
      </c>
      <c r="B558" s="677"/>
      <c r="C558" s="465"/>
      <c r="D558" s="465"/>
      <c r="E558" s="465"/>
      <c r="F558" s="481" t="s">
        <v>52</v>
      </c>
      <c r="G558" s="481"/>
      <c r="H558" s="125"/>
      <c r="I558" s="66"/>
      <c r="J558" s="452"/>
      <c r="K558" s="453"/>
      <c r="L558" s="454"/>
      <c r="M558" s="454"/>
      <c r="N558" s="454"/>
      <c r="O558" s="454"/>
      <c r="P558" s="454"/>
      <c r="Q558" s="454"/>
      <c r="R558" s="454"/>
      <c r="S558" s="454"/>
      <c r="T558" s="454"/>
      <c r="U558" s="454"/>
      <c r="V558" s="454"/>
      <c r="W558" s="454"/>
      <c r="X558" s="454"/>
      <c r="Y558" s="454"/>
      <c r="Z558" s="454"/>
      <c r="AA558" s="454"/>
      <c r="AB558" s="454"/>
      <c r="AC558" s="454"/>
      <c r="AD558" s="454"/>
      <c r="AE558" s="454"/>
      <c r="AF558" s="454"/>
      <c r="AG558" s="454"/>
      <c r="AH558" s="454"/>
      <c r="AI558" s="454"/>
      <c r="AJ558" s="769"/>
    </row>
    <row r="559" spans="1:36" ht="12.5" customHeight="1">
      <c r="A559" s="40"/>
      <c r="B559" s="40">
        <v>1</v>
      </c>
      <c r="C559" s="124"/>
      <c r="D559" s="124"/>
      <c r="E559" s="124"/>
      <c r="F559" s="451"/>
      <c r="G559" s="459" t="s">
        <v>112</v>
      </c>
      <c r="H559" s="66"/>
      <c r="I559" s="66"/>
      <c r="J559" s="452"/>
      <c r="K559" s="453"/>
      <c r="L559" s="454"/>
      <c r="M559" s="454"/>
      <c r="N559" s="454"/>
      <c r="O559" s="454"/>
      <c r="P559" s="454"/>
      <c r="Q559" s="454"/>
      <c r="R559" s="454"/>
      <c r="S559" s="454"/>
      <c r="T559" s="454"/>
      <c r="U559" s="454"/>
      <c r="V559" s="454"/>
      <c r="W559" s="454"/>
      <c r="X559" s="454"/>
      <c r="Y559" s="454"/>
      <c r="Z559" s="454"/>
      <c r="AA559" s="454"/>
      <c r="AB559" s="454"/>
      <c r="AC559" s="454"/>
      <c r="AD559" s="454"/>
      <c r="AE559" s="454"/>
      <c r="AF559" s="454"/>
      <c r="AG559" s="454"/>
      <c r="AH559" s="454"/>
      <c r="AI559" s="454"/>
      <c r="AJ559" s="769"/>
    </row>
    <row r="560" spans="1:36" ht="12.5" customHeight="1">
      <c r="A560" s="40"/>
      <c r="B560" s="40"/>
      <c r="C560" s="124">
        <v>1</v>
      </c>
      <c r="D560" s="124"/>
      <c r="E560" s="124"/>
      <c r="F560" s="451"/>
      <c r="G560" s="41"/>
      <c r="H560" s="66" t="s">
        <v>35</v>
      </c>
      <c r="I560" s="66"/>
      <c r="J560" s="452"/>
      <c r="K560" s="453"/>
      <c r="L560" s="454"/>
      <c r="M560" s="454"/>
      <c r="N560" s="454"/>
      <c r="O560" s="454"/>
      <c r="P560" s="454"/>
      <c r="Q560" s="454"/>
      <c r="R560" s="454"/>
      <c r="S560" s="454"/>
      <c r="T560" s="454"/>
      <c r="U560" s="454"/>
      <c r="V560" s="454"/>
      <c r="W560" s="454"/>
      <c r="X560" s="454"/>
      <c r="Y560" s="454"/>
      <c r="Z560" s="454"/>
      <c r="AA560" s="454"/>
      <c r="AB560" s="454"/>
      <c r="AC560" s="454"/>
      <c r="AD560" s="454"/>
      <c r="AE560" s="454"/>
      <c r="AF560" s="454"/>
      <c r="AG560" s="454"/>
      <c r="AH560" s="454"/>
      <c r="AI560" s="454"/>
      <c r="AJ560" s="769"/>
    </row>
    <row r="561" spans="1:36" ht="12.5" customHeight="1">
      <c r="A561" s="160"/>
      <c r="B561" s="160"/>
      <c r="C561" s="161"/>
      <c r="D561" s="411">
        <v>1</v>
      </c>
      <c r="E561" s="124" t="s">
        <v>199</v>
      </c>
      <c r="F561" s="412"/>
      <c r="G561" s="36"/>
      <c r="H561" s="162"/>
      <c r="I561" s="162" t="s">
        <v>180</v>
      </c>
      <c r="J561" s="454"/>
      <c r="K561" s="483"/>
      <c r="L561" s="454"/>
      <c r="M561" s="454"/>
      <c r="N561" s="454"/>
      <c r="O561" s="454"/>
      <c r="P561" s="454"/>
      <c r="Q561" s="454"/>
      <c r="R561" s="454"/>
      <c r="S561" s="454"/>
      <c r="T561" s="454"/>
      <c r="U561" s="454"/>
      <c r="V561" s="454"/>
      <c r="W561" s="454"/>
      <c r="X561" s="454">
        <v>639322</v>
      </c>
      <c r="Y561" s="454"/>
      <c r="Z561" s="217">
        <f t="shared" ref="Z561:Z562" si="596">SUM(U561:Y561)</f>
        <v>639322</v>
      </c>
      <c r="AA561" s="217">
        <f t="shared" ref="AA561:AA562" si="597">Z561+T561</f>
        <v>639322</v>
      </c>
      <c r="AB561" s="454"/>
      <c r="AC561" s="454"/>
      <c r="AD561" s="454"/>
      <c r="AE561" s="454">
        <v>6789</v>
      </c>
      <c r="AF561" s="454"/>
      <c r="AG561" s="217">
        <f t="shared" ref="AG561:AG564" si="598">SUM(AB561:AF561)</f>
        <v>6789</v>
      </c>
      <c r="AH561" s="217">
        <f t="shared" ref="AH561:AH564" si="599">AG561+AA561</f>
        <v>646111</v>
      </c>
      <c r="AI561" s="217">
        <v>646111</v>
      </c>
      <c r="AJ561" s="764">
        <f t="shared" ref="AJ561:AJ564" si="600">AI561/AH561*100</f>
        <v>100</v>
      </c>
    </row>
    <row r="562" spans="1:36" ht="12.5" customHeight="1">
      <c r="A562" s="160"/>
      <c r="B562" s="160"/>
      <c r="C562" s="161"/>
      <c r="D562" s="411">
        <v>2</v>
      </c>
      <c r="E562" s="124" t="s">
        <v>199</v>
      </c>
      <c r="F562" s="412"/>
      <c r="G562" s="36"/>
      <c r="H562" s="162"/>
      <c r="I562" s="162" t="s">
        <v>182</v>
      </c>
      <c r="J562" s="454"/>
      <c r="K562" s="483"/>
      <c r="L562" s="454"/>
      <c r="M562" s="454"/>
      <c r="N562" s="454"/>
      <c r="O562" s="454"/>
      <c r="P562" s="454"/>
      <c r="Q562" s="454"/>
      <c r="R562" s="454"/>
      <c r="S562" s="454"/>
      <c r="T562" s="454"/>
      <c r="U562" s="454"/>
      <c r="V562" s="454"/>
      <c r="W562" s="454"/>
      <c r="X562" s="454">
        <v>283789</v>
      </c>
      <c r="Y562" s="454"/>
      <c r="Z562" s="217">
        <f t="shared" si="596"/>
        <v>283789</v>
      </c>
      <c r="AA562" s="217">
        <f t="shared" si="597"/>
        <v>283789</v>
      </c>
      <c r="AB562" s="454"/>
      <c r="AC562" s="454"/>
      <c r="AD562" s="454"/>
      <c r="AE562" s="454">
        <v>3510</v>
      </c>
      <c r="AF562" s="454"/>
      <c r="AG562" s="217">
        <f t="shared" si="598"/>
        <v>3510</v>
      </c>
      <c r="AH562" s="217">
        <f t="shared" si="599"/>
        <v>287299</v>
      </c>
      <c r="AI562" s="217">
        <v>287299</v>
      </c>
      <c r="AJ562" s="764">
        <f t="shared" si="600"/>
        <v>100</v>
      </c>
    </row>
    <row r="563" spans="1:36" ht="12.5" customHeight="1">
      <c r="A563" s="160"/>
      <c r="B563" s="160"/>
      <c r="C563" s="161"/>
      <c r="D563" s="161">
        <v>3</v>
      </c>
      <c r="E563" s="161" t="s">
        <v>199</v>
      </c>
      <c r="F563" s="482"/>
      <c r="G563" s="41"/>
      <c r="H563" s="66"/>
      <c r="I563" s="66" t="s">
        <v>116</v>
      </c>
      <c r="J563" s="454"/>
      <c r="K563" s="483"/>
      <c r="L563" s="454"/>
      <c r="M563" s="454"/>
      <c r="N563" s="454"/>
      <c r="O563" s="454"/>
      <c r="P563" s="454"/>
      <c r="Q563" s="454">
        <v>220000</v>
      </c>
      <c r="R563" s="454"/>
      <c r="S563" s="217">
        <f t="shared" ref="S563" si="601">SUM(M563:R563)</f>
        <v>220000</v>
      </c>
      <c r="T563" s="217">
        <f t="shared" ref="T563" si="602">S563+L563</f>
        <v>220000</v>
      </c>
      <c r="U563" s="454"/>
      <c r="V563" s="454"/>
      <c r="W563" s="454"/>
      <c r="X563" s="454">
        <v>630020</v>
      </c>
      <c r="Y563" s="454"/>
      <c r="Z563" s="217">
        <f>SUM(U563:Y563)</f>
        <v>630020</v>
      </c>
      <c r="AA563" s="217">
        <f>Z563+T563</f>
        <v>850020</v>
      </c>
      <c r="AB563" s="454"/>
      <c r="AC563" s="454"/>
      <c r="AD563" s="454"/>
      <c r="AE563" s="454">
        <v>1834</v>
      </c>
      <c r="AF563" s="454"/>
      <c r="AG563" s="217">
        <f t="shared" si="598"/>
        <v>1834</v>
      </c>
      <c r="AH563" s="217">
        <f t="shared" si="599"/>
        <v>851854</v>
      </c>
      <c r="AI563" s="217">
        <v>842674</v>
      </c>
      <c r="AJ563" s="764">
        <f t="shared" si="600"/>
        <v>98.922350543637762</v>
      </c>
    </row>
    <row r="564" spans="1:36" ht="12.5" customHeight="1">
      <c r="A564" s="40"/>
      <c r="B564" s="40"/>
      <c r="C564" s="124"/>
      <c r="D564" s="124">
        <v>5</v>
      </c>
      <c r="E564" s="124" t="s">
        <v>199</v>
      </c>
      <c r="F564" s="451"/>
      <c r="G564" s="41"/>
      <c r="H564" s="66"/>
      <c r="I564" s="66" t="s">
        <v>185</v>
      </c>
      <c r="J564" s="452">
        <v>142900000</v>
      </c>
      <c r="K564" s="453"/>
      <c r="L564" s="217">
        <f>SUM(J564:K564)</f>
        <v>142900000</v>
      </c>
      <c r="M564" s="217">
        <v>985000</v>
      </c>
      <c r="N564" s="217"/>
      <c r="O564" s="217">
        <v>-500000</v>
      </c>
      <c r="P564" s="217"/>
      <c r="Q564" s="217">
        <v>230000</v>
      </c>
      <c r="R564" s="217"/>
      <c r="S564" s="217">
        <f t="shared" ref="S564" si="603">SUM(M564:R564)</f>
        <v>715000</v>
      </c>
      <c r="T564" s="217">
        <f t="shared" ref="T564" si="604">S564+L564</f>
        <v>143615000</v>
      </c>
      <c r="U564" s="217"/>
      <c r="V564" s="217">
        <v>5000000</v>
      </c>
      <c r="W564" s="217"/>
      <c r="X564" s="217">
        <v>100000</v>
      </c>
      <c r="Y564" s="217"/>
      <c r="Z564" s="217">
        <f>SUM(U564:Y564)</f>
        <v>5100000</v>
      </c>
      <c r="AA564" s="217">
        <f>Z564+T564</f>
        <v>148715000</v>
      </c>
      <c r="AB564" s="217"/>
      <c r="AC564" s="217"/>
      <c r="AD564" s="217"/>
      <c r="AE564" s="217"/>
      <c r="AF564" s="217"/>
      <c r="AG564" s="217">
        <f t="shared" si="598"/>
        <v>0</v>
      </c>
      <c r="AH564" s="217">
        <f t="shared" si="599"/>
        <v>148715000</v>
      </c>
      <c r="AI564" s="217">
        <v>148530000</v>
      </c>
      <c r="AJ564" s="764">
        <f t="shared" si="600"/>
        <v>99.875600981743602</v>
      </c>
    </row>
    <row r="565" spans="1:36" ht="7" customHeight="1">
      <c r="A565" s="160"/>
      <c r="B565" s="160"/>
      <c r="C565" s="161"/>
      <c r="D565" s="161"/>
      <c r="E565" s="161"/>
      <c r="F565" s="482"/>
      <c r="G565" s="41"/>
      <c r="H565" s="66"/>
      <c r="I565" s="66"/>
      <c r="J565" s="454"/>
      <c r="K565" s="483"/>
      <c r="L565" s="217"/>
      <c r="M565" s="217"/>
      <c r="N565" s="217"/>
      <c r="O565" s="217"/>
      <c r="P565" s="217"/>
      <c r="Q565" s="217"/>
      <c r="R565" s="217"/>
      <c r="S565" s="217"/>
      <c r="T565" s="217"/>
      <c r="U565" s="217"/>
      <c r="V565" s="217"/>
      <c r="W565" s="217"/>
      <c r="X565" s="217"/>
      <c r="Y565" s="217"/>
      <c r="Z565" s="217"/>
      <c r="AA565" s="217"/>
      <c r="AB565" s="217"/>
      <c r="AC565" s="217"/>
      <c r="AD565" s="217"/>
      <c r="AE565" s="217"/>
      <c r="AF565" s="217"/>
      <c r="AG565" s="217"/>
      <c r="AH565" s="217"/>
      <c r="AI565" s="217"/>
      <c r="AJ565" s="764"/>
    </row>
    <row r="566" spans="1:36" ht="14">
      <c r="A566" s="40"/>
      <c r="B566" s="40"/>
      <c r="C566" s="124"/>
      <c r="D566" s="124"/>
      <c r="E566" s="124"/>
      <c r="F566" s="173"/>
      <c r="G566" s="64"/>
      <c r="H566" s="65"/>
      <c r="I566" s="64" t="s">
        <v>38</v>
      </c>
      <c r="J566" s="333">
        <f>SUM(J564:J565)</f>
        <v>142900000</v>
      </c>
      <c r="K566" s="457"/>
      <c r="L566" s="458">
        <f t="shared" ref="L566" si="605">SUM(L564:L565)</f>
        <v>142900000</v>
      </c>
      <c r="M566" s="458">
        <f t="shared" ref="M566:T566" si="606">SUM(M563:M565)</f>
        <v>985000</v>
      </c>
      <c r="N566" s="458">
        <f t="shared" si="606"/>
        <v>0</v>
      </c>
      <c r="O566" s="458">
        <f t="shared" si="606"/>
        <v>-500000</v>
      </c>
      <c r="P566" s="458">
        <f t="shared" si="606"/>
        <v>0</v>
      </c>
      <c r="Q566" s="458">
        <f t="shared" si="606"/>
        <v>450000</v>
      </c>
      <c r="R566" s="458">
        <f t="shared" si="606"/>
        <v>0</v>
      </c>
      <c r="S566" s="458">
        <f t="shared" si="606"/>
        <v>935000</v>
      </c>
      <c r="T566" s="458">
        <f t="shared" si="606"/>
        <v>143835000</v>
      </c>
      <c r="U566" s="458"/>
      <c r="V566" s="458">
        <f>SUM(V561:V565)</f>
        <v>5000000</v>
      </c>
      <c r="W566" s="458"/>
      <c r="X566" s="458">
        <f>SUM(X561:X565)</f>
        <v>1653131</v>
      </c>
      <c r="Y566" s="458"/>
      <c r="Z566" s="458">
        <f>SUM(Z561:Z565)</f>
        <v>6653131</v>
      </c>
      <c r="AA566" s="458">
        <f>SUM(AA561:AA565)</f>
        <v>150488131</v>
      </c>
      <c r="AB566" s="458"/>
      <c r="AC566" s="458">
        <f>SUM(AC561:AC565)</f>
        <v>0</v>
      </c>
      <c r="AD566" s="458"/>
      <c r="AE566" s="458">
        <f>SUM(AE561:AE565)</f>
        <v>12133</v>
      </c>
      <c r="AF566" s="458"/>
      <c r="AG566" s="458">
        <f>SUM(AG561:AG565)</f>
        <v>12133</v>
      </c>
      <c r="AH566" s="458">
        <f>SUM(AH561:AH565)</f>
        <v>150500264</v>
      </c>
      <c r="AI566" s="458">
        <f>SUM(AI561:AI565)</f>
        <v>150306084</v>
      </c>
      <c r="AJ566" s="770">
        <f>AI566/AH566*100</f>
        <v>99.87097697051216</v>
      </c>
    </row>
    <row r="567" spans="1:36" ht="4.5" customHeight="1">
      <c r="A567" s="40"/>
      <c r="B567" s="40"/>
      <c r="C567" s="124"/>
      <c r="D567" s="124"/>
      <c r="E567" s="124"/>
      <c r="F567" s="451"/>
      <c r="G567" s="41"/>
      <c r="H567" s="66"/>
      <c r="I567" s="66"/>
      <c r="J567" s="452"/>
      <c r="K567" s="453"/>
      <c r="L567" s="454"/>
      <c r="M567" s="454"/>
      <c r="N567" s="454"/>
      <c r="O567" s="454"/>
      <c r="P567" s="454"/>
      <c r="Q567" s="454"/>
      <c r="R567" s="454"/>
      <c r="S567" s="454"/>
      <c r="T567" s="454"/>
      <c r="U567" s="454"/>
      <c r="V567" s="454"/>
      <c r="W567" s="454"/>
      <c r="X567" s="454"/>
      <c r="Y567" s="454"/>
      <c r="Z567" s="454"/>
      <c r="AA567" s="454"/>
      <c r="AB567" s="454"/>
      <c r="AC567" s="454"/>
      <c r="AD567" s="454"/>
      <c r="AE567" s="454"/>
      <c r="AF567" s="454"/>
      <c r="AG567" s="454"/>
      <c r="AH567" s="454"/>
      <c r="AI567" s="454"/>
      <c r="AJ567" s="769"/>
    </row>
    <row r="568" spans="1:36" ht="15" customHeight="1">
      <c r="A568" s="40"/>
      <c r="B568" s="40"/>
      <c r="C568" s="124"/>
      <c r="D568" s="124"/>
      <c r="E568" s="124"/>
      <c r="F568" s="173"/>
      <c r="G568" s="64"/>
      <c r="H568" s="65"/>
      <c r="I568" s="64" t="s">
        <v>37</v>
      </c>
      <c r="J568" s="333">
        <f>SUM(J564:J567)</f>
        <v>285800000</v>
      </c>
      <c r="K568" s="457">
        <f>SUM(K564:K567)</f>
        <v>0</v>
      </c>
      <c r="L568" s="458">
        <f>SUM(L566)</f>
        <v>142900000</v>
      </c>
      <c r="M568" s="458">
        <f t="shared" ref="M568:T568" si="607">SUM(M566)</f>
        <v>985000</v>
      </c>
      <c r="N568" s="458">
        <f t="shared" si="607"/>
        <v>0</v>
      </c>
      <c r="O568" s="458">
        <f t="shared" si="607"/>
        <v>-500000</v>
      </c>
      <c r="P568" s="458">
        <f t="shared" si="607"/>
        <v>0</v>
      </c>
      <c r="Q568" s="458">
        <f t="shared" si="607"/>
        <v>450000</v>
      </c>
      <c r="R568" s="458">
        <f t="shared" si="607"/>
        <v>0</v>
      </c>
      <c r="S568" s="458">
        <f t="shared" si="607"/>
        <v>935000</v>
      </c>
      <c r="T568" s="458">
        <f t="shared" si="607"/>
        <v>143835000</v>
      </c>
      <c r="U568" s="458"/>
      <c r="V568" s="458">
        <f t="shared" ref="V568:X568" si="608">SUM(V566)</f>
        <v>5000000</v>
      </c>
      <c r="W568" s="458"/>
      <c r="X568" s="458">
        <f t="shared" si="608"/>
        <v>1653131</v>
      </c>
      <c r="Y568" s="458"/>
      <c r="Z568" s="458">
        <f t="shared" ref="Z568:AA568" si="609">SUM(Z566)</f>
        <v>6653131</v>
      </c>
      <c r="AA568" s="458">
        <f t="shared" si="609"/>
        <v>150488131</v>
      </c>
      <c r="AB568" s="458"/>
      <c r="AC568" s="458">
        <f t="shared" ref="AC568" si="610">SUM(AC566)</f>
        <v>0</v>
      </c>
      <c r="AD568" s="458"/>
      <c r="AE568" s="458">
        <f t="shared" ref="AE568" si="611">SUM(AE566)</f>
        <v>12133</v>
      </c>
      <c r="AF568" s="458"/>
      <c r="AG568" s="458">
        <f t="shared" ref="AG568:AH568" si="612">SUM(AG566)</f>
        <v>12133</v>
      </c>
      <c r="AH568" s="458">
        <f t="shared" si="612"/>
        <v>150500264</v>
      </c>
      <c r="AI568" s="458">
        <f t="shared" ref="AI568" si="613">SUM(AI566)</f>
        <v>150306084</v>
      </c>
      <c r="AJ568" s="770">
        <f>AI568/AH568*100</f>
        <v>99.87097697051216</v>
      </c>
    </row>
    <row r="569" spans="1:36" ht="10" customHeight="1">
      <c r="A569" s="40"/>
      <c r="B569" s="40"/>
      <c r="C569" s="124"/>
      <c r="D569" s="124"/>
      <c r="E569" s="124"/>
      <c r="F569" s="451"/>
      <c r="G569" s="41"/>
      <c r="H569" s="66"/>
      <c r="I569" s="66"/>
      <c r="J569" s="452"/>
      <c r="K569" s="453"/>
      <c r="L569" s="454"/>
      <c r="M569" s="454"/>
      <c r="N569" s="454"/>
      <c r="O569" s="454"/>
      <c r="P569" s="454"/>
      <c r="Q569" s="454"/>
      <c r="R569" s="454"/>
      <c r="S569" s="454"/>
      <c r="T569" s="454"/>
      <c r="U569" s="454"/>
      <c r="V569" s="454"/>
      <c r="W569" s="454"/>
      <c r="X569" s="454"/>
      <c r="Y569" s="454"/>
      <c r="Z569" s="454"/>
      <c r="AA569" s="454"/>
      <c r="AB569" s="454"/>
      <c r="AC569" s="454"/>
      <c r="AD569" s="454"/>
      <c r="AE569" s="454"/>
      <c r="AF569" s="454"/>
      <c r="AG569" s="454"/>
      <c r="AH569" s="454"/>
      <c r="AI569" s="454"/>
      <c r="AJ569" s="769"/>
    </row>
    <row r="570" spans="1:36" ht="15" customHeight="1">
      <c r="A570" s="677">
        <v>16</v>
      </c>
      <c r="B570" s="677"/>
      <c r="C570" s="465"/>
      <c r="D570" s="465"/>
      <c r="E570" s="465"/>
      <c r="F570" s="481" t="s">
        <v>53</v>
      </c>
      <c r="G570" s="481"/>
      <c r="H570" s="125"/>
      <c r="I570" s="66"/>
      <c r="J570" s="452"/>
      <c r="K570" s="453"/>
      <c r="L570" s="454"/>
      <c r="M570" s="454"/>
      <c r="N570" s="454"/>
      <c r="O570" s="454"/>
      <c r="P570" s="454"/>
      <c r="Q570" s="454"/>
      <c r="R570" s="454"/>
      <c r="S570" s="454"/>
      <c r="T570" s="454"/>
      <c r="U570" s="454"/>
      <c r="V570" s="454"/>
      <c r="W570" s="454"/>
      <c r="X570" s="454"/>
      <c r="Y570" s="454"/>
      <c r="Z570" s="454"/>
      <c r="AA570" s="454"/>
      <c r="AB570" s="454"/>
      <c r="AC570" s="454"/>
      <c r="AD570" s="454"/>
      <c r="AE570" s="454"/>
      <c r="AF570" s="454"/>
      <c r="AG570" s="454"/>
      <c r="AH570" s="454"/>
      <c r="AI570" s="454"/>
      <c r="AJ570" s="769"/>
    </row>
    <row r="571" spans="1:36" ht="15" customHeight="1">
      <c r="A571" s="677"/>
      <c r="B571" s="677">
        <v>1</v>
      </c>
      <c r="C571" s="465"/>
      <c r="D571" s="465"/>
      <c r="E571" s="465"/>
      <c r="F571" s="481"/>
      <c r="G571" s="481" t="s">
        <v>113</v>
      </c>
      <c r="H571" s="125"/>
      <c r="I571" s="66"/>
      <c r="J571" s="452"/>
      <c r="K571" s="453"/>
      <c r="L571" s="454"/>
      <c r="M571" s="454"/>
      <c r="N571" s="454"/>
      <c r="O571" s="454"/>
      <c r="P571" s="454"/>
      <c r="Q571" s="454"/>
      <c r="R571" s="454"/>
      <c r="S571" s="454"/>
      <c r="T571" s="454"/>
      <c r="U571" s="454"/>
      <c r="V571" s="454"/>
      <c r="W571" s="454"/>
      <c r="X571" s="454"/>
      <c r="Y571" s="454"/>
      <c r="Z571" s="454"/>
      <c r="AA571" s="454"/>
      <c r="AB571" s="454"/>
      <c r="AC571" s="454"/>
      <c r="AD571" s="454"/>
      <c r="AE571" s="454"/>
      <c r="AF571" s="454"/>
      <c r="AG571" s="454"/>
      <c r="AH571" s="454"/>
      <c r="AI571" s="454"/>
      <c r="AJ571" s="769"/>
    </row>
    <row r="572" spans="1:36" ht="15" customHeight="1">
      <c r="A572" s="40"/>
      <c r="B572" s="40"/>
      <c r="C572" s="124">
        <v>1</v>
      </c>
      <c r="D572" s="124"/>
      <c r="E572" s="124"/>
      <c r="F572" s="451"/>
      <c r="G572" s="41"/>
      <c r="H572" s="66" t="s">
        <v>35</v>
      </c>
      <c r="I572" s="66"/>
      <c r="J572" s="452"/>
      <c r="K572" s="453"/>
      <c r="L572" s="454"/>
      <c r="M572" s="454"/>
      <c r="N572" s="454"/>
      <c r="O572" s="454"/>
      <c r="P572" s="454"/>
      <c r="Q572" s="454"/>
      <c r="R572" s="454"/>
      <c r="S572" s="454"/>
      <c r="T572" s="454"/>
      <c r="U572" s="454"/>
      <c r="V572" s="454"/>
      <c r="W572" s="454"/>
      <c r="X572" s="454"/>
      <c r="Y572" s="454"/>
      <c r="Z572" s="454"/>
      <c r="AA572" s="454"/>
      <c r="AB572" s="454"/>
      <c r="AC572" s="454"/>
      <c r="AD572" s="454"/>
      <c r="AE572" s="454"/>
      <c r="AF572" s="454"/>
      <c r="AG572" s="454"/>
      <c r="AH572" s="454"/>
      <c r="AI572" s="454"/>
      <c r="AJ572" s="769"/>
    </row>
    <row r="573" spans="1:36" ht="15" customHeight="1">
      <c r="A573" s="40"/>
      <c r="B573" s="40"/>
      <c r="C573" s="124"/>
      <c r="D573" s="124">
        <v>5</v>
      </c>
      <c r="E573" s="124" t="s">
        <v>198</v>
      </c>
      <c r="F573" s="451"/>
      <c r="G573" s="41"/>
      <c r="H573" s="66"/>
      <c r="I573" s="66" t="s">
        <v>185</v>
      </c>
      <c r="J573" s="452">
        <v>1300000</v>
      </c>
      <c r="K573" s="453"/>
      <c r="L573" s="217">
        <f>SUM(J573:K573)</f>
        <v>1300000</v>
      </c>
      <c r="M573" s="217"/>
      <c r="N573" s="217"/>
      <c r="O573" s="217"/>
      <c r="P573" s="217"/>
      <c r="Q573" s="217"/>
      <c r="R573" s="217"/>
      <c r="S573" s="217">
        <f t="shared" ref="S573" si="614">SUM(M573:R573)</f>
        <v>0</v>
      </c>
      <c r="T573" s="217">
        <f t="shared" ref="T573" si="615">S573+L573</f>
        <v>1300000</v>
      </c>
      <c r="U573" s="217"/>
      <c r="V573" s="217"/>
      <c r="W573" s="217"/>
      <c r="X573" s="217"/>
      <c r="Y573" s="217"/>
      <c r="Z573" s="217">
        <f>SUM(U573:Y573)</f>
        <v>0</v>
      </c>
      <c r="AA573" s="217">
        <f>Z573+T573</f>
        <v>1300000</v>
      </c>
      <c r="AB573" s="217"/>
      <c r="AC573" s="217"/>
      <c r="AD573" s="217"/>
      <c r="AE573" s="217"/>
      <c r="AF573" s="217"/>
      <c r="AG573" s="217">
        <f t="shared" ref="AG573" si="616">SUM(AB573:AF573)</f>
        <v>0</v>
      </c>
      <c r="AH573" s="217">
        <f t="shared" ref="AH573" si="617">AG573+AA573</f>
        <v>1300000</v>
      </c>
      <c r="AI573" s="217">
        <v>1300000</v>
      </c>
      <c r="AJ573" s="764">
        <f>AI573/AH573*100</f>
        <v>100</v>
      </c>
    </row>
    <row r="574" spans="1:36" ht="15" customHeight="1">
      <c r="A574" s="40"/>
      <c r="B574" s="40"/>
      <c r="C574" s="124"/>
      <c r="D574" s="124"/>
      <c r="E574" s="124"/>
      <c r="F574" s="451"/>
      <c r="G574" s="41"/>
      <c r="H574" s="66"/>
      <c r="I574" s="66"/>
      <c r="J574" s="452"/>
      <c r="K574" s="453"/>
      <c r="L574" s="454"/>
      <c r="M574" s="454"/>
      <c r="N574" s="454"/>
      <c r="O574" s="454"/>
      <c r="P574" s="454"/>
      <c r="Q574" s="454"/>
      <c r="R574" s="454"/>
      <c r="S574" s="454"/>
      <c r="T574" s="454"/>
      <c r="U574" s="454"/>
      <c r="V574" s="454"/>
      <c r="W574" s="454"/>
      <c r="X574" s="454"/>
      <c r="Y574" s="454"/>
      <c r="Z574" s="454"/>
      <c r="AA574" s="454"/>
      <c r="AB574" s="454"/>
      <c r="AC574" s="454"/>
      <c r="AD574" s="454"/>
      <c r="AE574" s="454"/>
      <c r="AF574" s="454"/>
      <c r="AG574" s="454"/>
      <c r="AH574" s="454"/>
      <c r="AI574" s="454"/>
      <c r="AJ574" s="769"/>
    </row>
    <row r="575" spans="1:36" ht="15" customHeight="1">
      <c r="A575" s="40"/>
      <c r="B575" s="40"/>
      <c r="C575" s="124"/>
      <c r="D575" s="124"/>
      <c r="E575" s="124"/>
      <c r="F575" s="173"/>
      <c r="G575" s="64"/>
      <c r="H575" s="65"/>
      <c r="I575" s="64" t="s">
        <v>38</v>
      </c>
      <c r="J575" s="333">
        <f>SUM(J569:J574)</f>
        <v>1300000</v>
      </c>
      <c r="K575" s="457"/>
      <c r="L575" s="458">
        <f>SUM(L569:L574)</f>
        <v>1300000</v>
      </c>
      <c r="M575" s="458">
        <f t="shared" ref="M575:T575" si="618">SUM(M569:M574)</f>
        <v>0</v>
      </c>
      <c r="N575" s="458">
        <f t="shared" si="618"/>
        <v>0</v>
      </c>
      <c r="O575" s="458">
        <f t="shared" si="618"/>
        <v>0</v>
      </c>
      <c r="P575" s="458">
        <f t="shared" si="618"/>
        <v>0</v>
      </c>
      <c r="Q575" s="458">
        <f t="shared" si="618"/>
        <v>0</v>
      </c>
      <c r="R575" s="458">
        <f t="shared" si="618"/>
        <v>0</v>
      </c>
      <c r="S575" s="458">
        <f t="shared" si="618"/>
        <v>0</v>
      </c>
      <c r="T575" s="458">
        <f t="shared" si="618"/>
        <v>1300000</v>
      </c>
      <c r="U575" s="458"/>
      <c r="V575" s="458"/>
      <c r="W575" s="458"/>
      <c r="X575" s="458"/>
      <c r="Y575" s="458"/>
      <c r="Z575" s="458">
        <f t="shared" ref="Z575:AA575" si="619">SUM(Z569:Z574)</f>
        <v>0</v>
      </c>
      <c r="AA575" s="458">
        <f t="shared" si="619"/>
        <v>1300000</v>
      </c>
      <c r="AB575" s="458"/>
      <c r="AC575" s="458"/>
      <c r="AD575" s="458"/>
      <c r="AE575" s="458"/>
      <c r="AF575" s="458"/>
      <c r="AG575" s="458">
        <f t="shared" ref="AG575:AI575" si="620">SUM(AG569:AG574)</f>
        <v>0</v>
      </c>
      <c r="AH575" s="458">
        <f t="shared" si="620"/>
        <v>1300000</v>
      </c>
      <c r="AI575" s="458">
        <f t="shared" si="620"/>
        <v>1300000</v>
      </c>
      <c r="AJ575" s="770">
        <f>AI575/AH575*100</f>
        <v>100</v>
      </c>
    </row>
    <row r="576" spans="1:36" ht="15" customHeight="1">
      <c r="A576" s="40"/>
      <c r="B576" s="40"/>
      <c r="C576" s="124"/>
      <c r="D576" s="124"/>
      <c r="E576" s="124"/>
      <c r="F576" s="451"/>
      <c r="G576" s="41"/>
      <c r="H576" s="66"/>
      <c r="I576" s="41"/>
      <c r="J576" s="126"/>
      <c r="K576" s="204"/>
      <c r="L576" s="205"/>
      <c r="M576" s="205"/>
      <c r="N576" s="205"/>
      <c r="O576" s="205"/>
      <c r="P576" s="205"/>
      <c r="Q576" s="205"/>
      <c r="R576" s="205"/>
      <c r="S576" s="205"/>
      <c r="T576" s="205"/>
      <c r="U576" s="205"/>
      <c r="V576" s="205"/>
      <c r="W576" s="205"/>
      <c r="X576" s="205"/>
      <c r="Y576" s="205"/>
      <c r="Z576" s="205"/>
      <c r="AA576" s="205"/>
      <c r="AB576" s="205"/>
      <c r="AC576" s="205"/>
      <c r="AD576" s="205"/>
      <c r="AE576" s="205"/>
      <c r="AF576" s="205"/>
      <c r="AG576" s="205"/>
      <c r="AH576" s="205"/>
      <c r="AI576" s="205"/>
      <c r="AJ576" s="747"/>
    </row>
    <row r="577" spans="1:36" ht="15.5" customHeight="1">
      <c r="A577" s="40"/>
      <c r="B577" s="40">
        <v>2</v>
      </c>
      <c r="C577" s="124"/>
      <c r="D577" s="124"/>
      <c r="E577" s="124"/>
      <c r="F577" s="451"/>
      <c r="G577" s="459" t="s">
        <v>726</v>
      </c>
      <c r="H577" s="66"/>
      <c r="I577" s="66"/>
      <c r="J577" s="452"/>
      <c r="K577" s="453"/>
      <c r="L577" s="454"/>
      <c r="M577" s="454"/>
      <c r="N577" s="454"/>
      <c r="O577" s="454"/>
      <c r="P577" s="454"/>
      <c r="Q577" s="454"/>
      <c r="R577" s="454"/>
      <c r="S577" s="454"/>
      <c r="T577" s="454"/>
      <c r="U577" s="454"/>
      <c r="V577" s="454"/>
      <c r="W577" s="454"/>
      <c r="X577" s="454"/>
      <c r="Y577" s="454"/>
      <c r="Z577" s="454"/>
      <c r="AA577" s="454"/>
      <c r="AB577" s="454"/>
      <c r="AC577" s="454"/>
      <c r="AD577" s="454"/>
      <c r="AE577" s="454"/>
      <c r="AF577" s="454"/>
      <c r="AG577" s="454"/>
      <c r="AH577" s="454"/>
      <c r="AI577" s="454"/>
      <c r="AJ577" s="769"/>
    </row>
    <row r="578" spans="1:36" ht="15.5" customHeight="1">
      <c r="A578" s="40"/>
      <c r="B578" s="40"/>
      <c r="C578" s="124">
        <v>1</v>
      </c>
      <c r="D578" s="124"/>
      <c r="E578" s="124"/>
      <c r="F578" s="451"/>
      <c r="G578" s="41"/>
      <c r="H578" s="66" t="s">
        <v>35</v>
      </c>
      <c r="I578" s="66"/>
      <c r="J578" s="452"/>
      <c r="K578" s="453"/>
      <c r="L578" s="454"/>
      <c r="M578" s="454"/>
      <c r="N578" s="454"/>
      <c r="O578" s="454"/>
      <c r="P578" s="454"/>
      <c r="Q578" s="454"/>
      <c r="R578" s="454"/>
      <c r="S578" s="454"/>
      <c r="T578" s="454"/>
      <c r="U578" s="454"/>
      <c r="V578" s="454"/>
      <c r="W578" s="454"/>
      <c r="X578" s="454"/>
      <c r="Y578" s="454"/>
      <c r="Z578" s="454"/>
      <c r="AA578" s="454"/>
      <c r="AB578" s="454"/>
      <c r="AC578" s="454"/>
      <c r="AD578" s="454"/>
      <c r="AE578" s="454"/>
      <c r="AF578" s="454"/>
      <c r="AG578" s="454"/>
      <c r="AH578" s="454"/>
      <c r="AI578" s="454"/>
      <c r="AJ578" s="769"/>
    </row>
    <row r="579" spans="1:36" ht="15.5" customHeight="1">
      <c r="A579" s="40"/>
      <c r="B579" s="40"/>
      <c r="C579" s="124"/>
      <c r="D579" s="124">
        <v>1</v>
      </c>
      <c r="E579" s="124" t="s">
        <v>199</v>
      </c>
      <c r="F579" s="451"/>
      <c r="G579" s="41"/>
      <c r="H579" s="66"/>
      <c r="I579" s="66" t="s">
        <v>180</v>
      </c>
      <c r="J579" s="128">
        <v>200000</v>
      </c>
      <c r="K579" s="453"/>
      <c r="L579" s="217">
        <f>SUM(J579:K579)</f>
        <v>200000</v>
      </c>
      <c r="M579" s="217"/>
      <c r="N579" s="217"/>
      <c r="O579" s="217"/>
      <c r="P579" s="217"/>
      <c r="Q579" s="217"/>
      <c r="R579" s="217"/>
      <c r="S579" s="217">
        <f t="shared" ref="S579:S581" si="621">SUM(M579:R579)</f>
        <v>0</v>
      </c>
      <c r="T579" s="217">
        <f t="shared" ref="T579:T581" si="622">S579+L579</f>
        <v>200000</v>
      </c>
      <c r="U579" s="217"/>
      <c r="V579" s="217"/>
      <c r="W579" s="217"/>
      <c r="X579" s="217"/>
      <c r="Y579" s="217"/>
      <c r="Z579" s="217">
        <f>SUM(U579:Y579)</f>
        <v>0</v>
      </c>
      <c r="AA579" s="217">
        <f>Z579+T579</f>
        <v>200000</v>
      </c>
      <c r="AB579" s="217"/>
      <c r="AC579" s="217"/>
      <c r="AD579" s="217"/>
      <c r="AE579" s="217">
        <v>-35350</v>
      </c>
      <c r="AF579" s="217"/>
      <c r="AG579" s="217">
        <f t="shared" ref="AG579:AG582" si="623">SUM(AB579:AF579)</f>
        <v>-35350</v>
      </c>
      <c r="AH579" s="217">
        <f t="shared" ref="AH579:AH582" si="624">AG579+AA579</f>
        <v>164650</v>
      </c>
      <c r="AI579" s="217">
        <v>164650</v>
      </c>
      <c r="AJ579" s="764">
        <f t="shared" ref="AJ579:AJ582" si="625">AI579/AH579*100</f>
        <v>100</v>
      </c>
    </row>
    <row r="580" spans="1:36" ht="15.5" customHeight="1">
      <c r="A580" s="40"/>
      <c r="B580" s="40"/>
      <c r="C580" s="124"/>
      <c r="D580" s="124">
        <v>2</v>
      </c>
      <c r="E580" s="124" t="s">
        <v>199</v>
      </c>
      <c r="F580" s="451"/>
      <c r="G580" s="41"/>
      <c r="H580" s="66"/>
      <c r="I580" s="66" t="s">
        <v>182</v>
      </c>
      <c r="J580" s="128">
        <v>103403</v>
      </c>
      <c r="K580" s="208"/>
      <c r="L580" s="217">
        <f>SUM(J580:K580)</f>
        <v>103403</v>
      </c>
      <c r="M580" s="217">
        <v>3406</v>
      </c>
      <c r="N580" s="217"/>
      <c r="O580" s="217"/>
      <c r="P580" s="217"/>
      <c r="Q580" s="217"/>
      <c r="R580" s="217"/>
      <c r="S580" s="217">
        <f t="shared" si="621"/>
        <v>3406</v>
      </c>
      <c r="T580" s="217">
        <f t="shared" si="622"/>
        <v>106809</v>
      </c>
      <c r="U580" s="217"/>
      <c r="V580" s="217"/>
      <c r="W580" s="217"/>
      <c r="X580" s="217"/>
      <c r="Y580" s="217"/>
      <c r="Z580" s="217">
        <f>SUM(U580:Y580)</f>
        <v>0</v>
      </c>
      <c r="AA580" s="217">
        <f>Z580+T580</f>
        <v>106809</v>
      </c>
      <c r="AB580" s="217"/>
      <c r="AC580" s="217"/>
      <c r="AD580" s="217"/>
      <c r="AE580" s="217">
        <v>-29480</v>
      </c>
      <c r="AF580" s="217"/>
      <c r="AG580" s="217">
        <f t="shared" si="623"/>
        <v>-29480</v>
      </c>
      <c r="AH580" s="217">
        <f t="shared" si="624"/>
        <v>77329</v>
      </c>
      <c r="AI580" s="217">
        <v>77329</v>
      </c>
      <c r="AJ580" s="764">
        <f t="shared" si="625"/>
        <v>100</v>
      </c>
    </row>
    <row r="581" spans="1:36" ht="15.5" customHeight="1">
      <c r="A581" s="40"/>
      <c r="B581" s="40"/>
      <c r="C581" s="124"/>
      <c r="D581" s="124">
        <v>3</v>
      </c>
      <c r="E581" s="124" t="s">
        <v>199</v>
      </c>
      <c r="F581" s="451"/>
      <c r="G581" s="41"/>
      <c r="H581" s="66"/>
      <c r="I581" s="66" t="s">
        <v>116</v>
      </c>
      <c r="J581" s="128">
        <v>346597</v>
      </c>
      <c r="K581" s="208"/>
      <c r="L581" s="217">
        <f>SUM(J581:K581)</f>
        <v>346597</v>
      </c>
      <c r="M581" s="217">
        <v>142240</v>
      </c>
      <c r="N581" s="217"/>
      <c r="O581" s="217"/>
      <c r="P581" s="217"/>
      <c r="Q581" s="217"/>
      <c r="R581" s="217"/>
      <c r="S581" s="217">
        <f t="shared" si="621"/>
        <v>142240</v>
      </c>
      <c r="T581" s="217">
        <f t="shared" si="622"/>
        <v>488837</v>
      </c>
      <c r="U581" s="217"/>
      <c r="V581" s="217"/>
      <c r="W581" s="217"/>
      <c r="X581" s="217">
        <v>-75000</v>
      </c>
      <c r="Y581" s="217"/>
      <c r="Z581" s="217">
        <f>SUM(U581:Y581)</f>
        <v>-75000</v>
      </c>
      <c r="AA581" s="217">
        <f>Z581+T581</f>
        <v>413837</v>
      </c>
      <c r="AB581" s="217"/>
      <c r="AC581" s="217"/>
      <c r="AD581" s="217"/>
      <c r="AE581" s="217">
        <v>182880</v>
      </c>
      <c r="AF581" s="217"/>
      <c r="AG581" s="217">
        <f t="shared" si="623"/>
        <v>182880</v>
      </c>
      <c r="AH581" s="217">
        <f t="shared" si="624"/>
        <v>596717</v>
      </c>
      <c r="AI581" s="217">
        <v>397730</v>
      </c>
      <c r="AJ581" s="764">
        <f t="shared" si="625"/>
        <v>66.653036531555159</v>
      </c>
    </row>
    <row r="582" spans="1:36" ht="15.5" customHeight="1">
      <c r="A582" s="160"/>
      <c r="B582" s="160"/>
      <c r="C582" s="161"/>
      <c r="D582" s="161">
        <v>5</v>
      </c>
      <c r="E582" s="161" t="s">
        <v>199</v>
      </c>
      <c r="F582" s="482"/>
      <c r="G582" s="41"/>
      <c r="H582" s="66"/>
      <c r="I582" s="66" t="s">
        <v>185</v>
      </c>
      <c r="J582" s="217"/>
      <c r="K582" s="426"/>
      <c r="L582" s="217"/>
      <c r="M582" s="217"/>
      <c r="N582" s="217"/>
      <c r="O582" s="217"/>
      <c r="P582" s="217"/>
      <c r="Q582" s="217"/>
      <c r="R582" s="217"/>
      <c r="S582" s="217"/>
      <c r="T582" s="217"/>
      <c r="U582" s="217"/>
      <c r="V582" s="217"/>
      <c r="W582" s="217"/>
      <c r="X582" s="217">
        <v>75000</v>
      </c>
      <c r="Y582" s="217"/>
      <c r="Z582" s="217">
        <f>SUM(U582:Y582)</f>
        <v>75000</v>
      </c>
      <c r="AA582" s="217">
        <f>Z582+T582</f>
        <v>75000</v>
      </c>
      <c r="AB582" s="217"/>
      <c r="AC582" s="217"/>
      <c r="AD582" s="217"/>
      <c r="AE582" s="217"/>
      <c r="AF582" s="217"/>
      <c r="AG582" s="217">
        <f t="shared" si="623"/>
        <v>0</v>
      </c>
      <c r="AH582" s="217">
        <f t="shared" si="624"/>
        <v>75000</v>
      </c>
      <c r="AI582" s="217">
        <v>75000</v>
      </c>
      <c r="AJ582" s="764">
        <f t="shared" si="625"/>
        <v>100</v>
      </c>
    </row>
    <row r="583" spans="1:36" ht="15.5" customHeight="1">
      <c r="A583" s="40"/>
      <c r="B583" s="40"/>
      <c r="C583" s="124"/>
      <c r="D583" s="124"/>
      <c r="E583" s="124"/>
      <c r="F583" s="451"/>
      <c r="G583" s="41"/>
      <c r="H583" s="66"/>
      <c r="I583" s="66"/>
      <c r="J583" s="452"/>
      <c r="K583" s="453"/>
      <c r="L583" s="454"/>
      <c r="M583" s="454"/>
      <c r="N583" s="454"/>
      <c r="O583" s="454"/>
      <c r="P583" s="454"/>
      <c r="Q583" s="454"/>
      <c r="R583" s="454"/>
      <c r="S583" s="454"/>
      <c r="T583" s="454"/>
      <c r="U583" s="454"/>
      <c r="V583" s="454"/>
      <c r="W583" s="454"/>
      <c r="X583" s="454"/>
      <c r="Y583" s="454"/>
      <c r="Z583" s="454"/>
      <c r="AA583" s="454"/>
      <c r="AB583" s="454"/>
      <c r="AC583" s="454"/>
      <c r="AD583" s="454"/>
      <c r="AE583" s="454"/>
      <c r="AF583" s="454"/>
      <c r="AG583" s="454"/>
      <c r="AH583" s="454"/>
      <c r="AI583" s="454"/>
      <c r="AJ583" s="769"/>
    </row>
    <row r="584" spans="1:36" ht="15.5" customHeight="1">
      <c r="A584" s="40"/>
      <c r="B584" s="40"/>
      <c r="C584" s="124"/>
      <c r="D584" s="124"/>
      <c r="E584" s="124"/>
      <c r="F584" s="173"/>
      <c r="G584" s="64"/>
      <c r="H584" s="65"/>
      <c r="I584" s="64" t="s">
        <v>38</v>
      </c>
      <c r="J584" s="333">
        <f>SUM(J576:J583)</f>
        <v>650000</v>
      </c>
      <c r="K584" s="457"/>
      <c r="L584" s="458">
        <f>SUM(L576:L583)</f>
        <v>650000</v>
      </c>
      <c r="M584" s="458">
        <f t="shared" ref="M584:T584" si="626">SUM(M576:M583)</f>
        <v>145646</v>
      </c>
      <c r="N584" s="458">
        <f t="shared" si="626"/>
        <v>0</v>
      </c>
      <c r="O584" s="458">
        <f t="shared" si="626"/>
        <v>0</v>
      </c>
      <c r="P584" s="458">
        <f t="shared" si="626"/>
        <v>0</v>
      </c>
      <c r="Q584" s="458">
        <f t="shared" si="626"/>
        <v>0</v>
      </c>
      <c r="R584" s="458">
        <f t="shared" si="626"/>
        <v>0</v>
      </c>
      <c r="S584" s="458">
        <f t="shared" si="626"/>
        <v>145646</v>
      </c>
      <c r="T584" s="458">
        <f t="shared" si="626"/>
        <v>795646</v>
      </c>
      <c r="U584" s="458"/>
      <c r="V584" s="458"/>
      <c r="W584" s="458"/>
      <c r="X584" s="458"/>
      <c r="Y584" s="458"/>
      <c r="Z584" s="458">
        <f t="shared" ref="Z584:AA584" si="627">SUM(Z576:Z583)</f>
        <v>0</v>
      </c>
      <c r="AA584" s="458">
        <f t="shared" si="627"/>
        <v>795646</v>
      </c>
      <c r="AB584" s="458"/>
      <c r="AC584" s="458"/>
      <c r="AD584" s="458"/>
      <c r="AE584" s="458">
        <f t="shared" ref="AE584:AI584" si="628">SUM(AE576:AE583)</f>
        <v>118050</v>
      </c>
      <c r="AF584" s="458">
        <f t="shared" si="628"/>
        <v>0</v>
      </c>
      <c r="AG584" s="458">
        <f t="shared" si="628"/>
        <v>118050</v>
      </c>
      <c r="AH584" s="458">
        <f t="shared" si="628"/>
        <v>913696</v>
      </c>
      <c r="AI584" s="458">
        <f t="shared" si="628"/>
        <v>714709</v>
      </c>
      <c r="AJ584" s="770">
        <f>AI584/AH584*100</f>
        <v>78.221749903687879</v>
      </c>
    </row>
    <row r="585" spans="1:36" ht="15.5" customHeight="1">
      <c r="A585" s="40"/>
      <c r="B585" s="40"/>
      <c r="C585" s="124"/>
      <c r="D585" s="124"/>
      <c r="E585" s="124"/>
      <c r="F585" s="451"/>
      <c r="G585" s="41"/>
      <c r="H585" s="66"/>
      <c r="I585" s="41"/>
      <c r="J585" s="126"/>
      <c r="K585" s="204"/>
      <c r="L585" s="205"/>
      <c r="M585" s="205"/>
      <c r="N585" s="205"/>
      <c r="O585" s="205"/>
      <c r="P585" s="205"/>
      <c r="Q585" s="205"/>
      <c r="R585" s="205"/>
      <c r="S585" s="205"/>
      <c r="T585" s="205"/>
      <c r="U585" s="205"/>
      <c r="V585" s="205"/>
      <c r="W585" s="205"/>
      <c r="X585" s="205"/>
      <c r="Y585" s="205"/>
      <c r="Z585" s="205"/>
      <c r="AA585" s="205"/>
      <c r="AB585" s="205"/>
      <c r="AC585" s="205"/>
      <c r="AD585" s="205"/>
      <c r="AE585" s="205"/>
      <c r="AF585" s="205"/>
      <c r="AG585" s="205"/>
      <c r="AH585" s="205"/>
      <c r="AI585" s="205"/>
      <c r="AJ585" s="747"/>
    </row>
    <row r="586" spans="1:36" ht="15.5" customHeight="1">
      <c r="A586" s="40"/>
      <c r="B586" s="40">
        <v>3</v>
      </c>
      <c r="C586" s="124"/>
      <c r="D586" s="124"/>
      <c r="E586" s="124"/>
      <c r="F586" s="451"/>
      <c r="G586" s="459" t="s">
        <v>448</v>
      </c>
      <c r="H586" s="66"/>
      <c r="I586" s="66"/>
      <c r="J586" s="452"/>
      <c r="K586" s="453"/>
      <c r="L586" s="454"/>
      <c r="M586" s="454"/>
      <c r="N586" s="454"/>
      <c r="O586" s="454"/>
      <c r="P586" s="454"/>
      <c r="Q586" s="454"/>
      <c r="R586" s="454"/>
      <c r="S586" s="454"/>
      <c r="T586" s="454"/>
      <c r="U586" s="454"/>
      <c r="V586" s="454"/>
      <c r="W586" s="454"/>
      <c r="X586" s="454"/>
      <c r="Y586" s="454"/>
      <c r="Z586" s="454"/>
      <c r="AA586" s="454"/>
      <c r="AB586" s="454"/>
      <c r="AC586" s="454"/>
      <c r="AD586" s="454"/>
      <c r="AE586" s="454"/>
      <c r="AF586" s="454"/>
      <c r="AG586" s="454"/>
      <c r="AH586" s="454"/>
      <c r="AI586" s="454"/>
      <c r="AJ586" s="769"/>
    </row>
    <row r="587" spans="1:36" ht="14">
      <c r="A587" s="40"/>
      <c r="B587" s="40"/>
      <c r="C587" s="124">
        <v>1</v>
      </c>
      <c r="D587" s="124"/>
      <c r="E587" s="124"/>
      <c r="F587" s="451"/>
      <c r="G587" s="41"/>
      <c r="H587" s="66" t="s">
        <v>35</v>
      </c>
      <c r="I587" s="66"/>
      <c r="J587" s="452"/>
      <c r="K587" s="453"/>
      <c r="L587" s="454"/>
      <c r="M587" s="454"/>
      <c r="N587" s="454"/>
      <c r="O587" s="454"/>
      <c r="P587" s="454"/>
      <c r="Q587" s="454"/>
      <c r="R587" s="454"/>
      <c r="S587" s="454"/>
      <c r="T587" s="454"/>
      <c r="U587" s="454"/>
      <c r="V587" s="454"/>
      <c r="W587" s="454"/>
      <c r="X587" s="454"/>
      <c r="Y587" s="454"/>
      <c r="Z587" s="454"/>
      <c r="AA587" s="454"/>
      <c r="AB587" s="454"/>
      <c r="AC587" s="454"/>
      <c r="AD587" s="454"/>
      <c r="AE587" s="454"/>
      <c r="AF587" s="454"/>
      <c r="AG587" s="454"/>
      <c r="AH587" s="454"/>
      <c r="AI587" s="454"/>
      <c r="AJ587" s="769"/>
    </row>
    <row r="588" spans="1:36" ht="14">
      <c r="A588" s="40"/>
      <c r="B588" s="40"/>
      <c r="C588" s="124"/>
      <c r="D588" s="124">
        <v>1</v>
      </c>
      <c r="E588" s="124" t="s">
        <v>199</v>
      </c>
      <c r="F588" s="41"/>
      <c r="G588" s="41"/>
      <c r="H588" s="66"/>
      <c r="I588" s="66" t="s">
        <v>180</v>
      </c>
      <c r="J588" s="128">
        <v>1100000</v>
      </c>
      <c r="K588" s="453"/>
      <c r="L588" s="217">
        <f>SUM(J588:K588)</f>
        <v>1100000</v>
      </c>
      <c r="M588" s="217"/>
      <c r="N588" s="217"/>
      <c r="O588" s="217"/>
      <c r="P588" s="217"/>
      <c r="Q588" s="217"/>
      <c r="R588" s="217"/>
      <c r="S588" s="217">
        <f t="shared" ref="S588:S590" si="629">SUM(M588:R588)</f>
        <v>0</v>
      </c>
      <c r="T588" s="217">
        <f t="shared" ref="T588:T590" si="630">S588+L588</f>
        <v>1100000</v>
      </c>
      <c r="U588" s="217"/>
      <c r="V588" s="217"/>
      <c r="W588" s="217"/>
      <c r="X588" s="217"/>
      <c r="Y588" s="217"/>
      <c r="Z588" s="217">
        <f>SUM(U588:Y588)</f>
        <v>0</v>
      </c>
      <c r="AA588" s="217">
        <f>Z588+T588</f>
        <v>1100000</v>
      </c>
      <c r="AB588" s="217"/>
      <c r="AC588" s="217"/>
      <c r="AD588" s="217"/>
      <c r="AE588" s="217">
        <v>598814</v>
      </c>
      <c r="AF588" s="217"/>
      <c r="AG588" s="217">
        <f t="shared" ref="AG588:AG590" si="631">SUM(AB588:AF588)</f>
        <v>598814</v>
      </c>
      <c r="AH588" s="217">
        <f t="shared" ref="AH588:AH590" si="632">AG588+AA588</f>
        <v>1698814</v>
      </c>
      <c r="AI588" s="217">
        <v>1002754</v>
      </c>
      <c r="AJ588" s="764">
        <f>AI588/AH588*100</f>
        <v>59.026709221845351</v>
      </c>
    </row>
    <row r="589" spans="1:36" ht="14">
      <c r="A589" s="40"/>
      <c r="B589" s="40"/>
      <c r="C589" s="124"/>
      <c r="D589" s="124">
        <v>2</v>
      </c>
      <c r="E589" s="124" t="s">
        <v>199</v>
      </c>
      <c r="F589" s="41"/>
      <c r="G589" s="41"/>
      <c r="H589" s="66"/>
      <c r="I589" s="66" t="s">
        <v>182</v>
      </c>
      <c r="J589" s="128">
        <v>568719</v>
      </c>
      <c r="K589" s="453"/>
      <c r="L589" s="217">
        <f>SUM(J589:K589)</f>
        <v>568719</v>
      </c>
      <c r="M589" s="217"/>
      <c r="N589" s="217"/>
      <c r="O589" s="217"/>
      <c r="P589" s="217"/>
      <c r="Q589" s="217"/>
      <c r="R589" s="217"/>
      <c r="S589" s="217">
        <f t="shared" si="629"/>
        <v>0</v>
      </c>
      <c r="T589" s="217">
        <f t="shared" si="630"/>
        <v>568719</v>
      </c>
      <c r="U589" s="217"/>
      <c r="V589" s="217"/>
      <c r="W589" s="217"/>
      <c r="X589" s="217"/>
      <c r="Y589" s="217"/>
      <c r="Z589" s="217">
        <f>SUM(U589:Y589)</f>
        <v>0</v>
      </c>
      <c r="AA589" s="217">
        <f>Z589+T589</f>
        <v>568719</v>
      </c>
      <c r="AB589" s="217"/>
      <c r="AC589" s="217"/>
      <c r="AD589" s="217"/>
      <c r="AE589" s="217">
        <v>-513400</v>
      </c>
      <c r="AF589" s="217"/>
      <c r="AG589" s="217">
        <f t="shared" si="631"/>
        <v>-513400</v>
      </c>
      <c r="AH589" s="217">
        <f t="shared" si="632"/>
        <v>55319</v>
      </c>
      <c r="AI589" s="217">
        <v>23423</v>
      </c>
      <c r="AJ589" s="764">
        <f t="shared" ref="AJ589:AJ590" si="633">AI589/AH589*100</f>
        <v>42.341690919937093</v>
      </c>
    </row>
    <row r="590" spans="1:36" ht="15" customHeight="1">
      <c r="A590" s="40"/>
      <c r="B590" s="40"/>
      <c r="C590" s="124"/>
      <c r="D590" s="124">
        <v>3</v>
      </c>
      <c r="E590" s="124" t="s">
        <v>199</v>
      </c>
      <c r="F590" s="451"/>
      <c r="G590" s="41"/>
      <c r="H590" s="66"/>
      <c r="I590" s="66" t="s">
        <v>116</v>
      </c>
      <c r="J590" s="128">
        <v>3531281</v>
      </c>
      <c r="K590" s="453"/>
      <c r="L590" s="217">
        <f>SUM(J590:K590)</f>
        <v>3531281</v>
      </c>
      <c r="M590" s="217">
        <v>1190111</v>
      </c>
      <c r="N590" s="217"/>
      <c r="O590" s="217"/>
      <c r="P590" s="217"/>
      <c r="Q590" s="217"/>
      <c r="R590" s="217"/>
      <c r="S590" s="217">
        <f t="shared" si="629"/>
        <v>1190111</v>
      </c>
      <c r="T590" s="217">
        <f t="shared" si="630"/>
        <v>4721392</v>
      </c>
      <c r="U590" s="217"/>
      <c r="V590" s="217"/>
      <c r="W590" s="217"/>
      <c r="X590" s="217">
        <v>-100000</v>
      </c>
      <c r="Y590" s="217"/>
      <c r="Z590" s="217">
        <f>SUM(U590:Y590)</f>
        <v>-100000</v>
      </c>
      <c r="AA590" s="217">
        <f>Z590+T590</f>
        <v>4621392</v>
      </c>
      <c r="AB590" s="217"/>
      <c r="AC590" s="217"/>
      <c r="AD590" s="217"/>
      <c r="AE590" s="217">
        <v>404286</v>
      </c>
      <c r="AF590" s="217"/>
      <c r="AG590" s="217">
        <f t="shared" si="631"/>
        <v>404286</v>
      </c>
      <c r="AH590" s="217">
        <f t="shared" si="632"/>
        <v>5025678</v>
      </c>
      <c r="AI590" s="217">
        <v>3860201</v>
      </c>
      <c r="AJ590" s="764">
        <f t="shared" si="633"/>
        <v>76.809556839893048</v>
      </c>
    </row>
    <row r="591" spans="1:36" ht="9" customHeight="1">
      <c r="A591" s="40"/>
      <c r="B591" s="40"/>
      <c r="C591" s="124"/>
      <c r="D591" s="124"/>
      <c r="E591" s="124"/>
      <c r="F591" s="451"/>
      <c r="G591" s="41"/>
      <c r="H591" s="66"/>
      <c r="I591" s="66"/>
      <c r="J591" s="452"/>
      <c r="K591" s="453"/>
      <c r="L591" s="454"/>
      <c r="M591" s="454"/>
      <c r="N591" s="454"/>
      <c r="O591" s="454"/>
      <c r="P591" s="454"/>
      <c r="Q591" s="454"/>
      <c r="R591" s="454"/>
      <c r="S591" s="454"/>
      <c r="T591" s="454"/>
      <c r="U591" s="454"/>
      <c r="V591" s="454"/>
      <c r="W591" s="454"/>
      <c r="X591" s="454"/>
      <c r="Y591" s="454"/>
      <c r="Z591" s="454"/>
      <c r="AA591" s="454"/>
      <c r="AB591" s="454"/>
      <c r="AC591" s="454"/>
      <c r="AD591" s="454"/>
      <c r="AE591" s="454"/>
      <c r="AF591" s="454"/>
      <c r="AG591" s="454"/>
      <c r="AH591" s="454"/>
      <c r="AI591" s="454"/>
      <c r="AJ591" s="769"/>
    </row>
    <row r="592" spans="1:36" ht="15" customHeight="1">
      <c r="A592" s="40"/>
      <c r="B592" s="40"/>
      <c r="C592" s="124"/>
      <c r="D592" s="124"/>
      <c r="E592" s="124"/>
      <c r="F592" s="173"/>
      <c r="G592" s="64"/>
      <c r="H592" s="65"/>
      <c r="I592" s="64" t="s">
        <v>38</v>
      </c>
      <c r="J592" s="333">
        <f>SUM(J585:J591)</f>
        <v>5200000</v>
      </c>
      <c r="K592" s="457"/>
      <c r="L592" s="458">
        <f>SUM(L585:L591)</f>
        <v>5200000</v>
      </c>
      <c r="M592" s="458">
        <f t="shared" ref="M592:T592" si="634">SUM(M585:M591)</f>
        <v>1190111</v>
      </c>
      <c r="N592" s="458">
        <f t="shared" si="634"/>
        <v>0</v>
      </c>
      <c r="O592" s="458">
        <f t="shared" si="634"/>
        <v>0</v>
      </c>
      <c r="P592" s="458">
        <f t="shared" si="634"/>
        <v>0</v>
      </c>
      <c r="Q592" s="458">
        <f t="shared" si="634"/>
        <v>0</v>
      </c>
      <c r="R592" s="458">
        <f t="shared" si="634"/>
        <v>0</v>
      </c>
      <c r="S592" s="458">
        <f t="shared" si="634"/>
        <v>1190111</v>
      </c>
      <c r="T592" s="458">
        <f t="shared" si="634"/>
        <v>6390111</v>
      </c>
      <c r="U592" s="458"/>
      <c r="V592" s="458"/>
      <c r="W592" s="458"/>
      <c r="X592" s="458">
        <f t="shared" ref="X592:AA592" si="635">SUM(X585:X591)</f>
        <v>-100000</v>
      </c>
      <c r="Y592" s="458"/>
      <c r="Z592" s="458">
        <f t="shared" si="635"/>
        <v>-100000</v>
      </c>
      <c r="AA592" s="458">
        <f t="shared" si="635"/>
        <v>6290111</v>
      </c>
      <c r="AB592" s="458"/>
      <c r="AC592" s="458"/>
      <c r="AD592" s="458"/>
      <c r="AE592" s="458">
        <f t="shared" ref="AE592" si="636">SUM(AE585:AE591)</f>
        <v>489700</v>
      </c>
      <c r="AF592" s="458"/>
      <c r="AG592" s="458">
        <f t="shared" ref="AG592:AI592" si="637">SUM(AG585:AG591)</f>
        <v>489700</v>
      </c>
      <c r="AH592" s="458">
        <f t="shared" si="637"/>
        <v>6779811</v>
      </c>
      <c r="AI592" s="458">
        <f t="shared" si="637"/>
        <v>4886378</v>
      </c>
      <c r="AJ592" s="770">
        <f>AI592/AH592*100</f>
        <v>72.072481076537386</v>
      </c>
    </row>
    <row r="593" spans="1:36" ht="15" customHeight="1">
      <c r="A593" s="40"/>
      <c r="B593" s="40"/>
      <c r="C593" s="124"/>
      <c r="D593" s="124"/>
      <c r="E593" s="124"/>
      <c r="F593" s="41"/>
      <c r="G593" s="41"/>
      <c r="H593" s="66"/>
      <c r="I593" s="41"/>
      <c r="J593" s="126"/>
      <c r="K593" s="204"/>
      <c r="L593" s="205"/>
      <c r="M593" s="205"/>
      <c r="N593" s="205"/>
      <c r="O593" s="205"/>
      <c r="P593" s="205"/>
      <c r="Q593" s="205"/>
      <c r="R593" s="205"/>
      <c r="S593" s="205"/>
      <c r="T593" s="205"/>
      <c r="U593" s="205"/>
      <c r="V593" s="205"/>
      <c r="W593" s="205"/>
      <c r="X593" s="205"/>
      <c r="Y593" s="205"/>
      <c r="Z593" s="205"/>
      <c r="AA593" s="205"/>
      <c r="AB593" s="205"/>
      <c r="AC593" s="205"/>
      <c r="AD593" s="205"/>
      <c r="AE593" s="205"/>
      <c r="AF593" s="205"/>
      <c r="AG593" s="205"/>
      <c r="AH593" s="205"/>
      <c r="AI593" s="205"/>
      <c r="AJ593" s="747"/>
    </row>
    <row r="594" spans="1:36" ht="15" customHeight="1">
      <c r="A594" s="40"/>
      <c r="B594" s="40">
        <v>4</v>
      </c>
      <c r="C594" s="124"/>
      <c r="D594" s="124"/>
      <c r="E594" s="124"/>
      <c r="F594" s="451"/>
      <c r="G594" s="459" t="s">
        <v>83</v>
      </c>
      <c r="H594" s="66"/>
      <c r="I594" s="66"/>
      <c r="J594" s="452"/>
      <c r="K594" s="453"/>
      <c r="L594" s="454"/>
      <c r="M594" s="454"/>
      <c r="N594" s="454"/>
      <c r="O594" s="454"/>
      <c r="P594" s="454"/>
      <c r="Q594" s="454"/>
      <c r="R594" s="454"/>
      <c r="S594" s="454"/>
      <c r="T594" s="454"/>
      <c r="U594" s="454"/>
      <c r="V594" s="454"/>
      <c r="W594" s="454"/>
      <c r="X594" s="454"/>
      <c r="Y594" s="454"/>
      <c r="Z594" s="454"/>
      <c r="AA594" s="454"/>
      <c r="AB594" s="454"/>
      <c r="AC594" s="454"/>
      <c r="AD594" s="454"/>
      <c r="AE594" s="454"/>
      <c r="AF594" s="454"/>
      <c r="AG594" s="454"/>
      <c r="AH594" s="454"/>
      <c r="AI594" s="454"/>
      <c r="AJ594" s="769"/>
    </row>
    <row r="595" spans="1:36" ht="15" customHeight="1">
      <c r="A595" s="40"/>
      <c r="B595" s="40"/>
      <c r="C595" s="124">
        <v>1</v>
      </c>
      <c r="D595" s="124"/>
      <c r="E595" s="124"/>
      <c r="F595" s="451"/>
      <c r="G595" s="41"/>
      <c r="H595" s="66" t="s">
        <v>35</v>
      </c>
      <c r="I595" s="66"/>
      <c r="J595" s="452"/>
      <c r="K595" s="453"/>
      <c r="L595" s="454"/>
      <c r="M595" s="454"/>
      <c r="N595" s="454"/>
      <c r="O595" s="454"/>
      <c r="P595" s="454"/>
      <c r="Q595" s="454"/>
      <c r="R595" s="454"/>
      <c r="S595" s="454"/>
      <c r="T595" s="454"/>
      <c r="U595" s="454"/>
      <c r="V595" s="454"/>
      <c r="W595" s="454"/>
      <c r="X595" s="454"/>
      <c r="Y595" s="454"/>
      <c r="Z595" s="454"/>
      <c r="AA595" s="454"/>
      <c r="AB595" s="454"/>
      <c r="AC595" s="454"/>
      <c r="AD595" s="454"/>
      <c r="AE595" s="454"/>
      <c r="AF595" s="454"/>
      <c r="AG595" s="454"/>
      <c r="AH595" s="454"/>
      <c r="AI595" s="454"/>
      <c r="AJ595" s="769"/>
    </row>
    <row r="596" spans="1:36" ht="15" customHeight="1">
      <c r="A596" s="40"/>
      <c r="B596" s="40"/>
      <c r="C596" s="124"/>
      <c r="D596" s="124">
        <v>1</v>
      </c>
      <c r="E596" s="124" t="s">
        <v>198</v>
      </c>
      <c r="F596" s="451"/>
      <c r="G596" s="41"/>
      <c r="H596" s="66"/>
      <c r="I596" s="66" t="s">
        <v>180</v>
      </c>
      <c r="J596" s="452">
        <v>600000</v>
      </c>
      <c r="K596" s="453"/>
      <c r="L596" s="217">
        <f>SUM(J596:K596)</f>
        <v>600000</v>
      </c>
      <c r="M596" s="217">
        <v>411864</v>
      </c>
      <c r="N596" s="217"/>
      <c r="O596" s="217"/>
      <c r="P596" s="217">
        <v>915480</v>
      </c>
      <c r="Q596" s="217"/>
      <c r="R596" s="217"/>
      <c r="S596" s="217">
        <f t="shared" ref="S596:S598" si="638">SUM(M596:R596)</f>
        <v>1327344</v>
      </c>
      <c r="T596" s="217">
        <f t="shared" ref="T596:T598" si="639">S596+L596</f>
        <v>1927344</v>
      </c>
      <c r="U596" s="217"/>
      <c r="V596" s="217"/>
      <c r="W596" s="217"/>
      <c r="X596" s="217"/>
      <c r="Y596" s="217"/>
      <c r="Z596" s="217">
        <f>SUM(U596:Y596)</f>
        <v>0</v>
      </c>
      <c r="AA596" s="217">
        <f>Z596+T596</f>
        <v>1927344</v>
      </c>
      <c r="AB596" s="217"/>
      <c r="AC596" s="217"/>
      <c r="AD596" s="217"/>
      <c r="AE596" s="217">
        <v>-263611</v>
      </c>
      <c r="AF596" s="217"/>
      <c r="AG596" s="217">
        <f t="shared" ref="AG596:AG598" si="640">SUM(AB596:AF596)</f>
        <v>-263611</v>
      </c>
      <c r="AH596" s="217">
        <f t="shared" ref="AH596:AH598" si="641">AG596+AA596</f>
        <v>1663733</v>
      </c>
      <c r="AI596" s="217">
        <v>1166528</v>
      </c>
      <c r="AJ596" s="764">
        <f t="shared" ref="AJ596:AJ598" si="642">AI596/AH596*100</f>
        <v>70.11509659302304</v>
      </c>
    </row>
    <row r="597" spans="1:36" ht="15" customHeight="1">
      <c r="A597" s="40"/>
      <c r="B597" s="40"/>
      <c r="C597" s="124"/>
      <c r="D597" s="124">
        <v>2</v>
      </c>
      <c r="E597" s="124" t="s">
        <v>198</v>
      </c>
      <c r="F597" s="451"/>
      <c r="G597" s="41"/>
      <c r="H597" s="66"/>
      <c r="I597" s="66" t="s">
        <v>182</v>
      </c>
      <c r="J597" s="452">
        <v>310210</v>
      </c>
      <c r="K597" s="453"/>
      <c r="L597" s="217">
        <f>SUM(J597:K597)</f>
        <v>310210</v>
      </c>
      <c r="M597" s="217">
        <v>238547</v>
      </c>
      <c r="N597" s="217"/>
      <c r="O597" s="217"/>
      <c r="P597" s="217"/>
      <c r="Q597" s="217"/>
      <c r="R597" s="217"/>
      <c r="S597" s="217">
        <f t="shared" si="638"/>
        <v>238547</v>
      </c>
      <c r="T597" s="217">
        <f t="shared" si="639"/>
        <v>548757</v>
      </c>
      <c r="U597" s="217"/>
      <c r="V597" s="217"/>
      <c r="W597" s="217"/>
      <c r="X597" s="217">
        <v>40000</v>
      </c>
      <c r="Y597" s="217"/>
      <c r="Z597" s="217">
        <f>SUM(U597:Y597)</f>
        <v>40000</v>
      </c>
      <c r="AA597" s="217">
        <f>Z597+T597</f>
        <v>588757</v>
      </c>
      <c r="AB597" s="217"/>
      <c r="AC597" s="217"/>
      <c r="AD597" s="217"/>
      <c r="AE597" s="217">
        <v>257000</v>
      </c>
      <c r="AF597" s="217"/>
      <c r="AG597" s="217">
        <f t="shared" si="640"/>
        <v>257000</v>
      </c>
      <c r="AH597" s="217">
        <f t="shared" si="641"/>
        <v>845757</v>
      </c>
      <c r="AI597" s="217">
        <v>588722</v>
      </c>
      <c r="AJ597" s="764">
        <f t="shared" si="642"/>
        <v>69.608882929730413</v>
      </c>
    </row>
    <row r="598" spans="1:36" ht="15" customHeight="1">
      <c r="A598" s="40"/>
      <c r="B598" s="40"/>
      <c r="C598" s="124"/>
      <c r="D598" s="124">
        <v>3</v>
      </c>
      <c r="E598" s="124" t="s">
        <v>198</v>
      </c>
      <c r="F598" s="451"/>
      <c r="G598" s="41"/>
      <c r="H598" s="66"/>
      <c r="I598" s="66" t="s">
        <v>116</v>
      </c>
      <c r="J598" s="452">
        <v>229790</v>
      </c>
      <c r="K598" s="453"/>
      <c r="L598" s="217">
        <f>SUM(J598:K598)</f>
        <v>229790</v>
      </c>
      <c r="M598" s="217">
        <v>309136</v>
      </c>
      <c r="N598" s="217"/>
      <c r="O598" s="217"/>
      <c r="P598" s="217">
        <v>794520</v>
      </c>
      <c r="Q598" s="217"/>
      <c r="R598" s="217"/>
      <c r="S598" s="217">
        <f t="shared" si="638"/>
        <v>1103656</v>
      </c>
      <c r="T598" s="217">
        <f t="shared" si="639"/>
        <v>1333446</v>
      </c>
      <c r="U598" s="217"/>
      <c r="V598" s="217"/>
      <c r="W598" s="217"/>
      <c r="X598" s="217"/>
      <c r="Y598" s="217"/>
      <c r="Z598" s="217">
        <f>SUM(U598:Y598)</f>
        <v>0</v>
      </c>
      <c r="AA598" s="217">
        <f>Z598+T598</f>
        <v>1333446</v>
      </c>
      <c r="AB598" s="217"/>
      <c r="AC598" s="217"/>
      <c r="AD598" s="217"/>
      <c r="AE598" s="217">
        <v>324000</v>
      </c>
      <c r="AF598" s="217"/>
      <c r="AG598" s="217">
        <f t="shared" si="640"/>
        <v>324000</v>
      </c>
      <c r="AH598" s="217">
        <f t="shared" si="641"/>
        <v>1657446</v>
      </c>
      <c r="AI598" s="217">
        <v>1300061</v>
      </c>
      <c r="AJ598" s="764">
        <f t="shared" si="642"/>
        <v>78.437608223737001</v>
      </c>
    </row>
    <row r="599" spans="1:36" ht="15" customHeight="1">
      <c r="A599" s="40"/>
      <c r="B599" s="40"/>
      <c r="C599" s="124"/>
      <c r="D599" s="124"/>
      <c r="E599" s="124"/>
      <c r="F599" s="451"/>
      <c r="G599" s="41"/>
      <c r="H599" s="66"/>
      <c r="I599" s="66"/>
      <c r="J599" s="452"/>
      <c r="K599" s="453"/>
      <c r="L599" s="454"/>
      <c r="M599" s="454"/>
      <c r="N599" s="454"/>
      <c r="O599" s="454"/>
      <c r="P599" s="454"/>
      <c r="Q599" s="454"/>
      <c r="R599" s="454"/>
      <c r="S599" s="454"/>
      <c r="T599" s="454"/>
      <c r="U599" s="454"/>
      <c r="V599" s="454"/>
      <c r="W599" s="454"/>
      <c r="X599" s="454"/>
      <c r="Y599" s="454"/>
      <c r="Z599" s="454"/>
      <c r="AA599" s="454"/>
      <c r="AB599" s="454"/>
      <c r="AC599" s="454"/>
      <c r="AD599" s="454"/>
      <c r="AE599" s="454"/>
      <c r="AF599" s="454"/>
      <c r="AG599" s="454"/>
      <c r="AH599" s="454"/>
      <c r="AI599" s="454"/>
      <c r="AJ599" s="769"/>
    </row>
    <row r="600" spans="1:36" ht="15" customHeight="1">
      <c r="A600" s="40"/>
      <c r="B600" s="40"/>
      <c r="C600" s="124"/>
      <c r="D600" s="124"/>
      <c r="E600" s="124"/>
      <c r="F600" s="173"/>
      <c r="G600" s="64"/>
      <c r="H600" s="65"/>
      <c r="I600" s="64" t="s">
        <v>38</v>
      </c>
      <c r="J600" s="333">
        <f>SUM(J593:J599)</f>
        <v>1140000</v>
      </c>
      <c r="K600" s="457"/>
      <c r="L600" s="458">
        <f>SUM(L593:L599)</f>
        <v>1140000</v>
      </c>
      <c r="M600" s="458">
        <f t="shared" ref="M600:T600" si="643">SUM(M593:M599)</f>
        <v>959547</v>
      </c>
      <c r="N600" s="458">
        <f t="shared" si="643"/>
        <v>0</v>
      </c>
      <c r="O600" s="458">
        <f t="shared" si="643"/>
        <v>0</v>
      </c>
      <c r="P600" s="458">
        <f t="shared" si="643"/>
        <v>1710000</v>
      </c>
      <c r="Q600" s="458">
        <f t="shared" si="643"/>
        <v>0</v>
      </c>
      <c r="R600" s="458">
        <f t="shared" si="643"/>
        <v>0</v>
      </c>
      <c r="S600" s="458">
        <f t="shared" si="643"/>
        <v>2669547</v>
      </c>
      <c r="T600" s="458">
        <f t="shared" si="643"/>
        <v>3809547</v>
      </c>
      <c r="U600" s="458"/>
      <c r="V600" s="458"/>
      <c r="W600" s="458"/>
      <c r="X600" s="458">
        <f t="shared" ref="X600:AA600" si="644">SUM(X593:X599)</f>
        <v>40000</v>
      </c>
      <c r="Y600" s="458"/>
      <c r="Z600" s="458">
        <f t="shared" si="644"/>
        <v>40000</v>
      </c>
      <c r="AA600" s="458">
        <f t="shared" si="644"/>
        <v>3849547</v>
      </c>
      <c r="AB600" s="458"/>
      <c r="AC600" s="458"/>
      <c r="AD600" s="458"/>
      <c r="AE600" s="458">
        <f t="shared" ref="AE600" si="645">SUM(AE593:AE599)</f>
        <v>317389</v>
      </c>
      <c r="AF600" s="458"/>
      <c r="AG600" s="458">
        <f t="shared" ref="AG600:AI600" si="646">SUM(AG593:AG599)</f>
        <v>317389</v>
      </c>
      <c r="AH600" s="458">
        <f t="shared" si="646"/>
        <v>4166936</v>
      </c>
      <c r="AI600" s="458">
        <f t="shared" si="646"/>
        <v>3055311</v>
      </c>
      <c r="AJ600" s="770">
        <f>AI600/AH600*100</f>
        <v>73.322724419093561</v>
      </c>
    </row>
    <row r="601" spans="1:36" ht="13.5" customHeight="1">
      <c r="A601" s="40"/>
      <c r="B601" s="40"/>
      <c r="C601" s="124"/>
      <c r="D601" s="124"/>
      <c r="E601" s="124"/>
      <c r="F601" s="41"/>
      <c r="G601" s="41"/>
      <c r="H601" s="66"/>
      <c r="I601" s="41"/>
      <c r="J601" s="126"/>
      <c r="K601" s="204"/>
      <c r="L601" s="205"/>
      <c r="M601" s="205"/>
      <c r="N601" s="205"/>
      <c r="O601" s="205"/>
      <c r="P601" s="205"/>
      <c r="Q601" s="205"/>
      <c r="R601" s="205"/>
      <c r="S601" s="205"/>
      <c r="T601" s="205"/>
      <c r="U601" s="205"/>
      <c r="V601" s="205"/>
      <c r="W601" s="205"/>
      <c r="X601" s="205"/>
      <c r="Y601" s="205"/>
      <c r="Z601" s="205"/>
      <c r="AA601" s="205"/>
      <c r="AB601" s="205"/>
      <c r="AC601" s="205"/>
      <c r="AD601" s="205"/>
      <c r="AE601" s="205"/>
      <c r="AF601" s="205"/>
      <c r="AG601" s="205"/>
      <c r="AH601" s="205"/>
      <c r="AI601" s="205"/>
      <c r="AJ601" s="747"/>
    </row>
    <row r="602" spans="1:36" ht="13.5" customHeight="1">
      <c r="A602" s="40"/>
      <c r="B602" s="40">
        <v>5</v>
      </c>
      <c r="C602" s="124"/>
      <c r="D602" s="124"/>
      <c r="E602" s="124"/>
      <c r="F602" s="451"/>
      <c r="G602" s="459" t="s">
        <v>125</v>
      </c>
      <c r="H602" s="66"/>
      <c r="I602" s="66"/>
      <c r="J602" s="452"/>
      <c r="K602" s="453"/>
      <c r="L602" s="454"/>
      <c r="M602" s="454"/>
      <c r="N602" s="454"/>
      <c r="O602" s="454"/>
      <c r="P602" s="454"/>
      <c r="Q602" s="454"/>
      <c r="R602" s="454"/>
      <c r="S602" s="454"/>
      <c r="T602" s="454"/>
      <c r="U602" s="454"/>
      <c r="V602" s="454"/>
      <c r="W602" s="454"/>
      <c r="X602" s="454"/>
      <c r="Y602" s="454"/>
      <c r="Z602" s="454"/>
      <c r="AA602" s="454"/>
      <c r="AB602" s="454"/>
      <c r="AC602" s="454"/>
      <c r="AD602" s="454"/>
      <c r="AE602" s="454"/>
      <c r="AF602" s="454"/>
      <c r="AG602" s="454"/>
      <c r="AH602" s="454"/>
      <c r="AI602" s="454"/>
      <c r="AJ602" s="769"/>
    </row>
    <row r="603" spans="1:36" ht="13.5" customHeight="1">
      <c r="A603" s="40"/>
      <c r="B603" s="40"/>
      <c r="C603" s="124">
        <v>1</v>
      </c>
      <c r="D603" s="124"/>
      <c r="E603" s="124"/>
      <c r="F603" s="451"/>
      <c r="G603" s="41"/>
      <c r="H603" s="66" t="s">
        <v>35</v>
      </c>
      <c r="I603" s="66"/>
      <c r="J603" s="452"/>
      <c r="K603" s="453"/>
      <c r="L603" s="454"/>
      <c r="M603" s="454"/>
      <c r="N603" s="454"/>
      <c r="O603" s="454"/>
      <c r="P603" s="454"/>
      <c r="Q603" s="454"/>
      <c r="R603" s="454"/>
      <c r="S603" s="454"/>
      <c r="T603" s="454"/>
      <c r="U603" s="454"/>
      <c r="V603" s="454"/>
      <c r="W603" s="454"/>
      <c r="X603" s="454"/>
      <c r="Y603" s="454"/>
      <c r="Z603" s="454"/>
      <c r="AA603" s="454"/>
      <c r="AB603" s="454"/>
      <c r="AC603" s="454"/>
      <c r="AD603" s="454"/>
      <c r="AE603" s="454"/>
      <c r="AF603" s="454"/>
      <c r="AG603" s="454"/>
      <c r="AH603" s="454"/>
      <c r="AI603" s="454"/>
      <c r="AJ603" s="769"/>
    </row>
    <row r="604" spans="1:36" ht="13.5" customHeight="1">
      <c r="A604" s="40"/>
      <c r="B604" s="40"/>
      <c r="C604" s="124"/>
      <c r="D604" s="124">
        <v>1</v>
      </c>
      <c r="E604" s="124" t="s">
        <v>198</v>
      </c>
      <c r="F604" s="451"/>
      <c r="G604" s="41"/>
      <c r="H604" s="66"/>
      <c r="I604" s="66" t="s">
        <v>180</v>
      </c>
      <c r="J604" s="452">
        <v>350000</v>
      </c>
      <c r="K604" s="453"/>
      <c r="L604" s="217">
        <f>SUM(J604:K604)</f>
        <v>350000</v>
      </c>
      <c r="M604" s="217"/>
      <c r="N604" s="217"/>
      <c r="O604" s="217"/>
      <c r="P604" s="217"/>
      <c r="Q604" s="217"/>
      <c r="R604" s="217"/>
      <c r="S604" s="217">
        <f t="shared" ref="S604:S606" si="647">SUM(M604:R604)</f>
        <v>0</v>
      </c>
      <c r="T604" s="217">
        <f t="shared" ref="T604:T606" si="648">S604+L604</f>
        <v>350000</v>
      </c>
      <c r="U604" s="217"/>
      <c r="V604" s="217"/>
      <c r="W604" s="217"/>
      <c r="X604" s="217"/>
      <c r="Y604" s="217"/>
      <c r="Z604" s="217">
        <f>SUM(U604:Y604)</f>
        <v>0</v>
      </c>
      <c r="AA604" s="217">
        <f>Z604+T604</f>
        <v>350000</v>
      </c>
      <c r="AB604" s="217"/>
      <c r="AC604" s="217"/>
      <c r="AD604" s="217"/>
      <c r="AE604" s="217">
        <v>-93955</v>
      </c>
      <c r="AF604" s="217"/>
      <c r="AG604" s="217">
        <f t="shared" ref="AG604:AG606" si="649">SUM(AB604:AF604)</f>
        <v>-93955</v>
      </c>
      <c r="AH604" s="217">
        <f t="shared" ref="AH604:AH606" si="650">AG604+AA604</f>
        <v>256045</v>
      </c>
      <c r="AI604" s="217">
        <v>256045</v>
      </c>
      <c r="AJ604" s="764">
        <f t="shared" ref="AJ604:AJ606" si="651">AI604/AH604*100</f>
        <v>100</v>
      </c>
    </row>
    <row r="605" spans="1:36" ht="13.5" customHeight="1">
      <c r="A605" s="40"/>
      <c r="B605" s="40"/>
      <c r="C605" s="124"/>
      <c r="D605" s="124">
        <v>2</v>
      </c>
      <c r="E605" s="124" t="s">
        <v>198</v>
      </c>
      <c r="F605" s="451"/>
      <c r="G605" s="41"/>
      <c r="H605" s="66"/>
      <c r="I605" s="66" t="s">
        <v>182</v>
      </c>
      <c r="J605" s="452">
        <v>180956</v>
      </c>
      <c r="K605" s="453"/>
      <c r="L605" s="217">
        <f>SUM(J605:K605)</f>
        <v>180956</v>
      </c>
      <c r="M605" s="217">
        <v>186462</v>
      </c>
      <c r="N605" s="217"/>
      <c r="O605" s="217"/>
      <c r="P605" s="217"/>
      <c r="Q605" s="217"/>
      <c r="R605" s="217"/>
      <c r="S605" s="217">
        <f t="shared" si="647"/>
        <v>186462</v>
      </c>
      <c r="T605" s="217">
        <f t="shared" si="648"/>
        <v>367418</v>
      </c>
      <c r="U605" s="217"/>
      <c r="V605" s="217"/>
      <c r="W605" s="217"/>
      <c r="X605" s="217"/>
      <c r="Y605" s="217"/>
      <c r="Z605" s="217">
        <f>SUM(U605:Y605)</f>
        <v>0</v>
      </c>
      <c r="AA605" s="217">
        <f>Z605+T605</f>
        <v>367418</v>
      </c>
      <c r="AB605" s="217"/>
      <c r="AC605" s="217"/>
      <c r="AD605" s="217"/>
      <c r="AE605" s="217">
        <v>-49000</v>
      </c>
      <c r="AF605" s="217"/>
      <c r="AG605" s="217">
        <f t="shared" si="649"/>
        <v>-49000</v>
      </c>
      <c r="AH605" s="217">
        <f t="shared" si="650"/>
        <v>318418</v>
      </c>
      <c r="AI605" s="217">
        <v>186462</v>
      </c>
      <c r="AJ605" s="764">
        <f t="shared" si="651"/>
        <v>58.55887544045877</v>
      </c>
    </row>
    <row r="606" spans="1:36" ht="13.5" customHeight="1">
      <c r="A606" s="40"/>
      <c r="B606" s="40"/>
      <c r="C606" s="124"/>
      <c r="D606" s="124">
        <v>3</v>
      </c>
      <c r="E606" s="124" t="s">
        <v>198</v>
      </c>
      <c r="F606" s="451"/>
      <c r="G606" s="41"/>
      <c r="H606" s="66"/>
      <c r="I606" s="66" t="s">
        <v>116</v>
      </c>
      <c r="J606" s="452">
        <v>503113</v>
      </c>
      <c r="K606" s="453"/>
      <c r="L606" s="217">
        <f>SUM(J606:K606)</f>
        <v>503113</v>
      </c>
      <c r="M606" s="217"/>
      <c r="N606" s="217"/>
      <c r="O606" s="217"/>
      <c r="P606" s="217"/>
      <c r="Q606" s="217"/>
      <c r="R606" s="217"/>
      <c r="S606" s="217">
        <f t="shared" si="647"/>
        <v>0</v>
      </c>
      <c r="T606" s="217">
        <f t="shared" si="648"/>
        <v>503113</v>
      </c>
      <c r="U606" s="217"/>
      <c r="V606" s="217"/>
      <c r="W606" s="217"/>
      <c r="X606" s="217"/>
      <c r="Y606" s="217"/>
      <c r="Z606" s="217">
        <f>SUM(U606:Y606)</f>
        <v>0</v>
      </c>
      <c r="AA606" s="217">
        <f>Z606+T606</f>
        <v>503113</v>
      </c>
      <c r="AB606" s="217"/>
      <c r="AC606" s="217"/>
      <c r="AD606" s="217"/>
      <c r="AE606" s="217">
        <v>30000</v>
      </c>
      <c r="AF606" s="217"/>
      <c r="AG606" s="217">
        <f t="shared" si="649"/>
        <v>30000</v>
      </c>
      <c r="AH606" s="217">
        <f t="shared" si="650"/>
        <v>533113</v>
      </c>
      <c r="AI606" s="217">
        <v>117337</v>
      </c>
      <c r="AJ606" s="764">
        <f t="shared" si="651"/>
        <v>22.009780290482507</v>
      </c>
    </row>
    <row r="607" spans="1:36" ht="5.5" customHeight="1">
      <c r="A607" s="40"/>
      <c r="B607" s="40"/>
      <c r="C607" s="124"/>
      <c r="D607" s="124"/>
      <c r="E607" s="124"/>
      <c r="F607" s="451"/>
      <c r="G607" s="41"/>
      <c r="H607" s="66"/>
      <c r="I607" s="66"/>
      <c r="J607" s="452"/>
      <c r="K607" s="453"/>
      <c r="L607" s="454"/>
      <c r="M607" s="454"/>
      <c r="N607" s="454"/>
      <c r="O607" s="454"/>
      <c r="P607" s="454"/>
      <c r="Q607" s="454"/>
      <c r="R607" s="454"/>
      <c r="S607" s="454"/>
      <c r="T607" s="454"/>
      <c r="U607" s="454"/>
      <c r="V607" s="454"/>
      <c r="W607" s="454"/>
      <c r="X607" s="454"/>
      <c r="Y607" s="454"/>
      <c r="Z607" s="454"/>
      <c r="AA607" s="454"/>
      <c r="AB607" s="454"/>
      <c r="AC607" s="454"/>
      <c r="AD607" s="454"/>
      <c r="AE607" s="454"/>
      <c r="AF607" s="454"/>
      <c r="AG607" s="454"/>
      <c r="AH607" s="454"/>
      <c r="AI607" s="454"/>
      <c r="AJ607" s="769"/>
    </row>
    <row r="608" spans="1:36" ht="13.5" customHeight="1">
      <c r="A608" s="40"/>
      <c r="B608" s="40"/>
      <c r="C608" s="124"/>
      <c r="D608" s="124"/>
      <c r="E608" s="124"/>
      <c r="F608" s="173"/>
      <c r="G608" s="64"/>
      <c r="H608" s="65"/>
      <c r="I608" s="64" t="s">
        <v>38</v>
      </c>
      <c r="J608" s="333">
        <f>SUM(J601:J607)</f>
        <v>1034069</v>
      </c>
      <c r="K608" s="457"/>
      <c r="L608" s="458">
        <f>SUM(L601:L607)</f>
        <v>1034069</v>
      </c>
      <c r="M608" s="458">
        <f t="shared" ref="M608:T608" si="652">SUM(M601:M607)</f>
        <v>186462</v>
      </c>
      <c r="N608" s="458">
        <f t="shared" si="652"/>
        <v>0</v>
      </c>
      <c r="O608" s="458">
        <f t="shared" si="652"/>
        <v>0</v>
      </c>
      <c r="P608" s="458">
        <f t="shared" si="652"/>
        <v>0</v>
      </c>
      <c r="Q608" s="458">
        <f t="shared" si="652"/>
        <v>0</v>
      </c>
      <c r="R608" s="458">
        <f t="shared" si="652"/>
        <v>0</v>
      </c>
      <c r="S608" s="458">
        <f t="shared" si="652"/>
        <v>186462</v>
      </c>
      <c r="T608" s="458">
        <f t="shared" si="652"/>
        <v>1220531</v>
      </c>
      <c r="U608" s="458"/>
      <c r="V608" s="458"/>
      <c r="W608" s="458"/>
      <c r="X608" s="458"/>
      <c r="Y608" s="458"/>
      <c r="Z608" s="458">
        <f t="shared" ref="Z608:AA608" si="653">SUM(Z601:Z607)</f>
        <v>0</v>
      </c>
      <c r="AA608" s="458">
        <f t="shared" si="653"/>
        <v>1220531</v>
      </c>
      <c r="AB608" s="458"/>
      <c r="AC608" s="458"/>
      <c r="AD608" s="458"/>
      <c r="AE608" s="458">
        <f t="shared" ref="AE608:AI608" si="654">SUM(AE601:AE607)</f>
        <v>-112955</v>
      </c>
      <c r="AF608" s="458"/>
      <c r="AG608" s="458">
        <f t="shared" si="654"/>
        <v>-112955</v>
      </c>
      <c r="AH608" s="458">
        <f t="shared" si="654"/>
        <v>1107576</v>
      </c>
      <c r="AI608" s="458">
        <f t="shared" si="654"/>
        <v>559844</v>
      </c>
      <c r="AJ608" s="770">
        <f>AI608/AH608*100</f>
        <v>50.546779634083805</v>
      </c>
    </row>
    <row r="609" spans="1:36" ht="14">
      <c r="A609" s="40"/>
      <c r="B609" s="40"/>
      <c r="C609" s="124"/>
      <c r="D609" s="124"/>
      <c r="E609" s="124"/>
      <c r="F609" s="41"/>
      <c r="G609" s="41"/>
      <c r="H609" s="66"/>
      <c r="I609" s="41"/>
      <c r="J609" s="126"/>
      <c r="K609" s="204"/>
      <c r="L609" s="205"/>
      <c r="M609" s="205"/>
      <c r="N609" s="205"/>
      <c r="O609" s="205"/>
      <c r="P609" s="205"/>
      <c r="Q609" s="205"/>
      <c r="R609" s="205"/>
      <c r="S609" s="205"/>
      <c r="T609" s="205"/>
      <c r="U609" s="205"/>
      <c r="V609" s="205"/>
      <c r="W609" s="205"/>
      <c r="X609" s="205"/>
      <c r="Y609" s="205"/>
      <c r="Z609" s="205"/>
      <c r="AA609" s="205"/>
      <c r="AB609" s="205"/>
      <c r="AC609" s="205"/>
      <c r="AD609" s="205"/>
      <c r="AE609" s="205"/>
      <c r="AF609" s="205"/>
      <c r="AG609" s="205"/>
      <c r="AH609" s="205"/>
      <c r="AI609" s="205"/>
      <c r="AJ609" s="747"/>
    </row>
    <row r="610" spans="1:36" ht="14">
      <c r="A610" s="40"/>
      <c r="B610" s="40">
        <v>6</v>
      </c>
      <c r="C610" s="124"/>
      <c r="D610" s="124"/>
      <c r="E610" s="124"/>
      <c r="F610" s="451"/>
      <c r="G610" s="459" t="s">
        <v>306</v>
      </c>
      <c r="H610" s="66"/>
      <c r="I610" s="66"/>
      <c r="J610" s="452"/>
      <c r="K610" s="453"/>
      <c r="L610" s="454"/>
      <c r="M610" s="454"/>
      <c r="N610" s="454"/>
      <c r="O610" s="454"/>
      <c r="P610" s="454"/>
      <c r="Q610" s="454"/>
      <c r="R610" s="454"/>
      <c r="S610" s="454"/>
      <c r="T610" s="454"/>
      <c r="U610" s="454"/>
      <c r="V610" s="454"/>
      <c r="W610" s="454"/>
      <c r="X610" s="454"/>
      <c r="Y610" s="454"/>
      <c r="Z610" s="454"/>
      <c r="AA610" s="454"/>
      <c r="AB610" s="454"/>
      <c r="AC610" s="454"/>
      <c r="AD610" s="454"/>
      <c r="AE610" s="454"/>
      <c r="AF610" s="454"/>
      <c r="AG610" s="454"/>
      <c r="AH610" s="454"/>
      <c r="AI610" s="454"/>
      <c r="AJ610" s="769"/>
    </row>
    <row r="611" spans="1:36" ht="14">
      <c r="A611" s="40"/>
      <c r="B611" s="40"/>
      <c r="C611" s="124">
        <v>1</v>
      </c>
      <c r="D611" s="124"/>
      <c r="E611" s="124"/>
      <c r="F611" s="451"/>
      <c r="G611" s="41"/>
      <c r="H611" s="66" t="s">
        <v>35</v>
      </c>
      <c r="I611" s="66"/>
      <c r="J611" s="452"/>
      <c r="K611" s="453"/>
      <c r="L611" s="454"/>
      <c r="M611" s="454"/>
      <c r="N611" s="454"/>
      <c r="O611" s="454"/>
      <c r="P611" s="454"/>
      <c r="Q611" s="454"/>
      <c r="R611" s="454"/>
      <c r="S611" s="454"/>
      <c r="T611" s="454"/>
      <c r="U611" s="454"/>
      <c r="V611" s="454"/>
      <c r="W611" s="454"/>
      <c r="X611" s="454"/>
      <c r="Y611" s="454"/>
      <c r="Z611" s="454"/>
      <c r="AA611" s="454"/>
      <c r="AB611" s="454"/>
      <c r="AC611" s="454"/>
      <c r="AD611" s="454"/>
      <c r="AE611" s="454"/>
      <c r="AF611" s="454"/>
      <c r="AG611" s="454"/>
      <c r="AH611" s="454"/>
      <c r="AI611" s="454"/>
      <c r="AJ611" s="769"/>
    </row>
    <row r="612" spans="1:36" ht="14">
      <c r="A612" s="40"/>
      <c r="B612" s="40"/>
      <c r="C612" s="124"/>
      <c r="D612" s="124">
        <v>3</v>
      </c>
      <c r="E612" s="124" t="s">
        <v>198</v>
      </c>
      <c r="F612" s="451"/>
      <c r="G612" s="41"/>
      <c r="H612" s="66"/>
      <c r="I612" s="66" t="s">
        <v>116</v>
      </c>
      <c r="J612" s="452">
        <v>1200000</v>
      </c>
      <c r="K612" s="453"/>
      <c r="L612" s="217">
        <f>SUM(J612:K612)</f>
        <v>1200000</v>
      </c>
      <c r="M612" s="217">
        <v>182730</v>
      </c>
      <c r="N612" s="217"/>
      <c r="O612" s="217"/>
      <c r="P612" s="217"/>
      <c r="Q612" s="217"/>
      <c r="R612" s="217"/>
      <c r="S612" s="217">
        <f t="shared" ref="S612" si="655">SUM(M612:R612)</f>
        <v>182730</v>
      </c>
      <c r="T612" s="217">
        <f t="shared" ref="T612" si="656">S612+L612</f>
        <v>1382730</v>
      </c>
      <c r="U612" s="217"/>
      <c r="V612" s="217"/>
      <c r="W612" s="217"/>
      <c r="X612" s="217"/>
      <c r="Y612" s="217"/>
      <c r="Z612" s="217">
        <f>SUM(U612:Y612)</f>
        <v>0</v>
      </c>
      <c r="AA612" s="217">
        <f>Z612+T612</f>
        <v>1382730</v>
      </c>
      <c r="AB612" s="217"/>
      <c r="AC612" s="217"/>
      <c r="AD612" s="217"/>
      <c r="AE612" s="217"/>
      <c r="AF612" s="217"/>
      <c r="AG612" s="217">
        <f t="shared" ref="AG612" si="657">SUM(AB612:AF612)</f>
        <v>0</v>
      </c>
      <c r="AH612" s="217">
        <f t="shared" ref="AH612" si="658">AG612+AA612</f>
        <v>1382730</v>
      </c>
      <c r="AI612" s="217">
        <v>754805</v>
      </c>
      <c r="AJ612" s="764">
        <f>AI612/AH612*100</f>
        <v>54.588025138674944</v>
      </c>
    </row>
    <row r="613" spans="1:36" ht="14">
      <c r="A613" s="40"/>
      <c r="B613" s="40"/>
      <c r="C613" s="124"/>
      <c r="D613" s="124"/>
      <c r="E613" s="124"/>
      <c r="F613" s="451"/>
      <c r="G613" s="41"/>
      <c r="H613" s="66"/>
      <c r="I613" s="66"/>
      <c r="J613" s="452"/>
      <c r="K613" s="453"/>
      <c r="L613" s="454"/>
      <c r="M613" s="454"/>
      <c r="N613" s="454"/>
      <c r="O613" s="454"/>
      <c r="P613" s="454"/>
      <c r="Q613" s="454"/>
      <c r="R613" s="454"/>
      <c r="S613" s="454"/>
      <c r="T613" s="454"/>
      <c r="U613" s="454"/>
      <c r="V613" s="454"/>
      <c r="W613" s="454"/>
      <c r="X613" s="454"/>
      <c r="Y613" s="454"/>
      <c r="Z613" s="454"/>
      <c r="AA613" s="454"/>
      <c r="AB613" s="454"/>
      <c r="AC613" s="454"/>
      <c r="AD613" s="454"/>
      <c r="AE613" s="454"/>
      <c r="AF613" s="454"/>
      <c r="AG613" s="454"/>
      <c r="AH613" s="454"/>
      <c r="AI613" s="454"/>
      <c r="AJ613" s="769"/>
    </row>
    <row r="614" spans="1:36" ht="14">
      <c r="A614" s="40"/>
      <c r="B614" s="40"/>
      <c r="C614" s="124"/>
      <c r="D614" s="124"/>
      <c r="E614" s="124"/>
      <c r="F614" s="173"/>
      <c r="G614" s="64"/>
      <c r="H614" s="65"/>
      <c r="I614" s="64" t="s">
        <v>38</v>
      </c>
      <c r="J614" s="333">
        <f>SUM(J612:J613)</f>
        <v>1200000</v>
      </c>
      <c r="K614" s="457"/>
      <c r="L614" s="458">
        <f>SUM(L612:L613)</f>
        <v>1200000</v>
      </c>
      <c r="M614" s="458">
        <f t="shared" ref="M614:T614" si="659">SUM(M612:M613)</f>
        <v>182730</v>
      </c>
      <c r="N614" s="458">
        <f t="shared" si="659"/>
        <v>0</v>
      </c>
      <c r="O614" s="458">
        <f t="shared" si="659"/>
        <v>0</v>
      </c>
      <c r="P614" s="458">
        <f t="shared" si="659"/>
        <v>0</v>
      </c>
      <c r="Q614" s="458">
        <f t="shared" si="659"/>
        <v>0</v>
      </c>
      <c r="R614" s="458">
        <f t="shared" si="659"/>
        <v>0</v>
      </c>
      <c r="S614" s="458">
        <f t="shared" si="659"/>
        <v>182730</v>
      </c>
      <c r="T614" s="458">
        <f t="shared" si="659"/>
        <v>1382730</v>
      </c>
      <c r="U614" s="458"/>
      <c r="V614" s="458"/>
      <c r="W614" s="458"/>
      <c r="X614" s="458"/>
      <c r="Y614" s="458"/>
      <c r="Z614" s="458">
        <f t="shared" ref="Z614:AA614" si="660">SUM(Z612:Z613)</f>
        <v>0</v>
      </c>
      <c r="AA614" s="458">
        <f t="shared" si="660"/>
        <v>1382730</v>
      </c>
      <c r="AB614" s="458"/>
      <c r="AC614" s="458"/>
      <c r="AD614" s="458"/>
      <c r="AE614" s="458"/>
      <c r="AF614" s="458"/>
      <c r="AG614" s="458">
        <f t="shared" ref="AG614:AI614" si="661">SUM(AG612:AG613)</f>
        <v>0</v>
      </c>
      <c r="AH614" s="458">
        <f t="shared" si="661"/>
        <v>1382730</v>
      </c>
      <c r="AI614" s="458">
        <f t="shared" si="661"/>
        <v>754805</v>
      </c>
      <c r="AJ614" s="770">
        <f>AI614/AH614*100</f>
        <v>54.588025138674944</v>
      </c>
    </row>
    <row r="615" spans="1:36" ht="14">
      <c r="A615" s="40"/>
      <c r="B615" s="40"/>
      <c r="C615" s="124"/>
      <c r="D615" s="124"/>
      <c r="E615" s="124"/>
      <c r="F615" s="41"/>
      <c r="G615" s="41"/>
      <c r="H615" s="66"/>
      <c r="I615" s="41"/>
      <c r="J615" s="126"/>
      <c r="K615" s="204"/>
      <c r="L615" s="205"/>
      <c r="M615" s="205"/>
      <c r="N615" s="205"/>
      <c r="O615" s="205"/>
      <c r="P615" s="205"/>
      <c r="Q615" s="205"/>
      <c r="R615" s="205"/>
      <c r="S615" s="205"/>
      <c r="T615" s="205"/>
      <c r="U615" s="205"/>
      <c r="V615" s="205"/>
      <c r="W615" s="205"/>
      <c r="X615" s="205"/>
      <c r="Y615" s="205"/>
      <c r="Z615" s="205"/>
      <c r="AA615" s="205"/>
      <c r="AB615" s="205"/>
      <c r="AC615" s="205"/>
      <c r="AD615" s="205"/>
      <c r="AE615" s="205"/>
      <c r="AF615" s="205"/>
      <c r="AG615" s="205"/>
      <c r="AH615" s="205"/>
      <c r="AI615" s="205"/>
      <c r="AJ615" s="747"/>
    </row>
    <row r="616" spans="1:36" ht="14">
      <c r="A616" s="40"/>
      <c r="B616" s="40">
        <v>7</v>
      </c>
      <c r="C616" s="124"/>
      <c r="D616" s="124"/>
      <c r="E616" s="124"/>
      <c r="F616" s="451"/>
      <c r="G616" s="459" t="s">
        <v>336</v>
      </c>
      <c r="H616" s="66"/>
      <c r="I616" s="66"/>
      <c r="J616" s="452"/>
      <c r="K616" s="453"/>
      <c r="L616" s="454"/>
      <c r="M616" s="454"/>
      <c r="N616" s="454"/>
      <c r="O616" s="454"/>
      <c r="P616" s="454"/>
      <c r="Q616" s="454"/>
      <c r="R616" s="454"/>
      <c r="S616" s="454"/>
      <c r="T616" s="454"/>
      <c r="U616" s="454"/>
      <c r="V616" s="454"/>
      <c r="W616" s="454"/>
      <c r="X616" s="454"/>
      <c r="Y616" s="454"/>
      <c r="Z616" s="454"/>
      <c r="AA616" s="454"/>
      <c r="AB616" s="454"/>
      <c r="AC616" s="454"/>
      <c r="AD616" s="454"/>
      <c r="AE616" s="454"/>
      <c r="AF616" s="454"/>
      <c r="AG616" s="454"/>
      <c r="AH616" s="454"/>
      <c r="AI616" s="454"/>
      <c r="AJ616" s="769"/>
    </row>
    <row r="617" spans="1:36" ht="14">
      <c r="A617" s="40"/>
      <c r="B617" s="40"/>
      <c r="C617" s="124">
        <v>1</v>
      </c>
      <c r="D617" s="124"/>
      <c r="E617" s="124"/>
      <c r="F617" s="451"/>
      <c r="G617" s="41"/>
      <c r="H617" s="66" t="s">
        <v>35</v>
      </c>
      <c r="I617" s="66"/>
      <c r="J617" s="452"/>
      <c r="K617" s="453"/>
      <c r="L617" s="454"/>
      <c r="M617" s="454"/>
      <c r="N617" s="454"/>
      <c r="O617" s="454"/>
      <c r="P617" s="454"/>
      <c r="Q617" s="454"/>
      <c r="R617" s="454"/>
      <c r="S617" s="454"/>
      <c r="T617" s="454"/>
      <c r="U617" s="454"/>
      <c r="V617" s="454"/>
      <c r="W617" s="454"/>
      <c r="X617" s="454"/>
      <c r="Y617" s="454"/>
      <c r="Z617" s="454"/>
      <c r="AA617" s="454"/>
      <c r="AB617" s="454"/>
      <c r="AC617" s="454"/>
      <c r="AD617" s="454"/>
      <c r="AE617" s="454"/>
      <c r="AF617" s="454"/>
      <c r="AG617" s="454"/>
      <c r="AH617" s="454"/>
      <c r="AI617" s="454"/>
      <c r="AJ617" s="769"/>
    </row>
    <row r="618" spans="1:36" ht="14">
      <c r="A618" s="40"/>
      <c r="B618" s="40"/>
      <c r="C618" s="124"/>
      <c r="D618" s="124">
        <v>1</v>
      </c>
      <c r="E618" s="124" t="s">
        <v>198</v>
      </c>
      <c r="F618" s="451"/>
      <c r="G618" s="41"/>
      <c r="H618" s="66"/>
      <c r="I618" s="66" t="s">
        <v>180</v>
      </c>
      <c r="J618" s="452">
        <v>550000</v>
      </c>
      <c r="K618" s="453"/>
      <c r="L618" s="217">
        <f>SUM(J618:K618)</f>
        <v>550000</v>
      </c>
      <c r="M618" s="217"/>
      <c r="N618" s="217"/>
      <c r="O618" s="217"/>
      <c r="P618" s="217"/>
      <c r="Q618" s="217"/>
      <c r="R618" s="217"/>
      <c r="S618" s="217">
        <f t="shared" ref="S618:S620" si="662">SUM(M618:R618)</f>
        <v>0</v>
      </c>
      <c r="T618" s="217">
        <f t="shared" ref="T618:T620" si="663">S618+L618</f>
        <v>550000</v>
      </c>
      <c r="U618" s="217"/>
      <c r="V618" s="217"/>
      <c r="W618" s="217"/>
      <c r="X618" s="217">
        <v>-60102</v>
      </c>
      <c r="Y618" s="217"/>
      <c r="Z618" s="217">
        <f>SUM(U618:Y618)</f>
        <v>-60102</v>
      </c>
      <c r="AA618" s="217">
        <f>Z618+T618</f>
        <v>489898</v>
      </c>
      <c r="AB618" s="217"/>
      <c r="AC618" s="217"/>
      <c r="AD618" s="217"/>
      <c r="AE618" s="217">
        <v>-489898</v>
      </c>
      <c r="AF618" s="217"/>
      <c r="AG618" s="217">
        <f t="shared" ref="AG618:AG620" si="664">SUM(AB618:AF618)</f>
        <v>-489898</v>
      </c>
      <c r="AH618" s="217">
        <f t="shared" ref="AH618:AH620" si="665">AG618+AA618</f>
        <v>0</v>
      </c>
      <c r="AI618" s="217"/>
      <c r="AJ618" s="764"/>
    </row>
    <row r="619" spans="1:36" ht="14">
      <c r="A619" s="40"/>
      <c r="B619" s="40"/>
      <c r="C619" s="124"/>
      <c r="D619" s="124">
        <v>2</v>
      </c>
      <c r="E619" s="124" t="s">
        <v>198</v>
      </c>
      <c r="F619" s="451"/>
      <c r="G619" s="41"/>
      <c r="H619" s="66"/>
      <c r="I619" s="66" t="s">
        <v>182</v>
      </c>
      <c r="J619" s="452">
        <v>284360</v>
      </c>
      <c r="K619" s="453"/>
      <c r="L619" s="217">
        <f>SUM(J619:K619)</f>
        <v>284360</v>
      </c>
      <c r="M619" s="217"/>
      <c r="N619" s="217"/>
      <c r="O619" s="217"/>
      <c r="P619" s="217"/>
      <c r="Q619" s="217"/>
      <c r="R619" s="217"/>
      <c r="S619" s="217">
        <f t="shared" si="662"/>
        <v>0</v>
      </c>
      <c r="T619" s="217">
        <f t="shared" si="663"/>
        <v>284360</v>
      </c>
      <c r="U619" s="217"/>
      <c r="V619" s="217"/>
      <c r="W619" s="217"/>
      <c r="X619" s="217">
        <v>-71074</v>
      </c>
      <c r="Y619" s="217"/>
      <c r="Z619" s="217">
        <f>SUM(U619:Y619)</f>
        <v>-71074</v>
      </c>
      <c r="AA619" s="217">
        <f>Z619+T619</f>
        <v>213286</v>
      </c>
      <c r="AB619" s="217"/>
      <c r="AC619" s="217"/>
      <c r="AD619" s="217"/>
      <c r="AE619" s="217">
        <v>-213286</v>
      </c>
      <c r="AF619" s="217"/>
      <c r="AG619" s="217">
        <f t="shared" si="664"/>
        <v>-213286</v>
      </c>
      <c r="AH619" s="217">
        <f t="shared" si="665"/>
        <v>0</v>
      </c>
      <c r="AI619" s="217"/>
      <c r="AJ619" s="764"/>
    </row>
    <row r="620" spans="1:36" ht="14">
      <c r="A620" s="40"/>
      <c r="B620" s="40"/>
      <c r="C620" s="124"/>
      <c r="D620" s="124">
        <v>3</v>
      </c>
      <c r="E620" s="124" t="s">
        <v>198</v>
      </c>
      <c r="F620" s="451"/>
      <c r="G620" s="41"/>
      <c r="H620" s="66"/>
      <c r="I620" s="66" t="s">
        <v>116</v>
      </c>
      <c r="J620" s="452">
        <v>365640</v>
      </c>
      <c r="K620" s="453"/>
      <c r="L620" s="217">
        <f>SUM(J620:K620)</f>
        <v>365640</v>
      </c>
      <c r="M620" s="217"/>
      <c r="N620" s="217"/>
      <c r="O620" s="217"/>
      <c r="P620" s="217"/>
      <c r="Q620" s="217"/>
      <c r="R620" s="217"/>
      <c r="S620" s="217">
        <f t="shared" si="662"/>
        <v>0</v>
      </c>
      <c r="T620" s="217">
        <f t="shared" si="663"/>
        <v>365640</v>
      </c>
      <c r="U620" s="217"/>
      <c r="V620" s="217"/>
      <c r="W620" s="217"/>
      <c r="X620" s="217"/>
      <c r="Y620" s="217"/>
      <c r="Z620" s="217">
        <f>SUM(U620:Y620)</f>
        <v>0</v>
      </c>
      <c r="AA620" s="217">
        <f>Z620+T620</f>
        <v>365640</v>
      </c>
      <c r="AB620" s="217"/>
      <c r="AC620" s="217"/>
      <c r="AD620" s="217"/>
      <c r="AE620" s="217">
        <v>-307000</v>
      </c>
      <c r="AF620" s="217"/>
      <c r="AG620" s="217">
        <f t="shared" si="664"/>
        <v>-307000</v>
      </c>
      <c r="AH620" s="217">
        <f t="shared" si="665"/>
        <v>58640</v>
      </c>
      <c r="AI620" s="217"/>
      <c r="AJ620" s="764"/>
    </row>
    <row r="621" spans="1:36" ht="6.5" customHeight="1">
      <c r="A621" s="40"/>
      <c r="B621" s="40"/>
      <c r="C621" s="124"/>
      <c r="D621" s="124"/>
      <c r="E621" s="124"/>
      <c r="F621" s="451"/>
      <c r="G621" s="41"/>
      <c r="H621" s="66"/>
      <c r="I621" s="66"/>
      <c r="J621" s="452"/>
      <c r="K621" s="453"/>
      <c r="L621" s="454"/>
      <c r="M621" s="454"/>
      <c r="N621" s="454"/>
      <c r="O621" s="454"/>
      <c r="P621" s="454"/>
      <c r="Q621" s="454"/>
      <c r="R621" s="454"/>
      <c r="S621" s="454"/>
      <c r="T621" s="454"/>
      <c r="U621" s="454"/>
      <c r="V621" s="454"/>
      <c r="W621" s="454"/>
      <c r="X621" s="454"/>
      <c r="Y621" s="454"/>
      <c r="Z621" s="454"/>
      <c r="AA621" s="454"/>
      <c r="AB621" s="454"/>
      <c r="AC621" s="454"/>
      <c r="AD621" s="454"/>
      <c r="AE621" s="454"/>
      <c r="AF621" s="454"/>
      <c r="AG621" s="454"/>
      <c r="AH621" s="454"/>
      <c r="AI621" s="454"/>
      <c r="AJ621" s="769"/>
    </row>
    <row r="622" spans="1:36" ht="14">
      <c r="A622" s="40"/>
      <c r="B622" s="40"/>
      <c r="C622" s="124"/>
      <c r="D622" s="124"/>
      <c r="E622" s="124"/>
      <c r="F622" s="173"/>
      <c r="G622" s="64"/>
      <c r="H622" s="65"/>
      <c r="I622" s="64" t="s">
        <v>38</v>
      </c>
      <c r="J622" s="333">
        <f>SUM(J615:J621)</f>
        <v>1200000</v>
      </c>
      <c r="K622" s="457"/>
      <c r="L622" s="458">
        <f>SUM(L615:L621)</f>
        <v>1200000</v>
      </c>
      <c r="M622" s="458">
        <f t="shared" ref="M622:T622" si="666">SUM(M615:M621)</f>
        <v>0</v>
      </c>
      <c r="N622" s="458">
        <f t="shared" si="666"/>
        <v>0</v>
      </c>
      <c r="O622" s="458">
        <f t="shared" si="666"/>
        <v>0</v>
      </c>
      <c r="P622" s="458">
        <f t="shared" si="666"/>
        <v>0</v>
      </c>
      <c r="Q622" s="458">
        <f t="shared" si="666"/>
        <v>0</v>
      </c>
      <c r="R622" s="458">
        <f t="shared" si="666"/>
        <v>0</v>
      </c>
      <c r="S622" s="458">
        <f t="shared" si="666"/>
        <v>0</v>
      </c>
      <c r="T622" s="458">
        <f t="shared" si="666"/>
        <v>1200000</v>
      </c>
      <c r="U622" s="458"/>
      <c r="V622" s="458"/>
      <c r="W622" s="458"/>
      <c r="X622" s="458">
        <f t="shared" ref="X622:AA622" si="667">SUM(X615:X621)</f>
        <v>-131176</v>
      </c>
      <c r="Y622" s="458"/>
      <c r="Z622" s="458">
        <f t="shared" si="667"/>
        <v>-131176</v>
      </c>
      <c r="AA622" s="458">
        <f t="shared" si="667"/>
        <v>1068824</v>
      </c>
      <c r="AB622" s="458"/>
      <c r="AC622" s="458"/>
      <c r="AD622" s="458"/>
      <c r="AE622" s="458">
        <f t="shared" ref="AE622" si="668">SUM(AE615:AE621)</f>
        <v>-1010184</v>
      </c>
      <c r="AF622" s="458"/>
      <c r="AG622" s="458">
        <f t="shared" ref="AG622:AH622" si="669">SUM(AG615:AG621)</f>
        <v>-1010184</v>
      </c>
      <c r="AH622" s="458">
        <f t="shared" si="669"/>
        <v>58640</v>
      </c>
      <c r="AI622" s="458"/>
      <c r="AJ622" s="770"/>
    </row>
    <row r="623" spans="1:36" ht="8" customHeight="1">
      <c r="A623" s="40"/>
      <c r="B623" s="40"/>
      <c r="C623" s="124"/>
      <c r="D623" s="124"/>
      <c r="E623" s="124"/>
      <c r="F623" s="41"/>
      <c r="G623" s="41"/>
      <c r="H623" s="66"/>
      <c r="I623" s="41"/>
      <c r="J623" s="126"/>
      <c r="K623" s="204"/>
      <c r="L623" s="205"/>
      <c r="M623" s="205"/>
      <c r="N623" s="205"/>
      <c r="O623" s="205"/>
      <c r="P623" s="205"/>
      <c r="Q623" s="205"/>
      <c r="R623" s="205"/>
      <c r="S623" s="205"/>
      <c r="T623" s="205"/>
      <c r="U623" s="205"/>
      <c r="V623" s="205"/>
      <c r="W623" s="205"/>
      <c r="X623" s="205"/>
      <c r="Y623" s="205"/>
      <c r="Z623" s="205"/>
      <c r="AA623" s="205"/>
      <c r="AB623" s="205"/>
      <c r="AC623" s="205"/>
      <c r="AD623" s="205"/>
      <c r="AE623" s="205"/>
      <c r="AF623" s="205"/>
      <c r="AG623" s="205"/>
      <c r="AH623" s="205"/>
      <c r="AI623" s="205"/>
      <c r="AJ623" s="747"/>
    </row>
    <row r="624" spans="1:36" ht="14">
      <c r="A624" s="40"/>
      <c r="B624" s="40">
        <v>8</v>
      </c>
      <c r="C624" s="124"/>
      <c r="D624" s="124"/>
      <c r="E624" s="124"/>
      <c r="F624" s="451"/>
      <c r="G624" s="459" t="s">
        <v>337</v>
      </c>
      <c r="H624" s="66"/>
      <c r="I624" s="66"/>
      <c r="J624" s="452"/>
      <c r="K624" s="453"/>
      <c r="L624" s="454"/>
      <c r="M624" s="454"/>
      <c r="N624" s="454"/>
      <c r="O624" s="454"/>
      <c r="P624" s="454"/>
      <c r="Q624" s="454"/>
      <c r="R624" s="454"/>
      <c r="S624" s="454"/>
      <c r="T624" s="454"/>
      <c r="U624" s="454"/>
      <c r="V624" s="454"/>
      <c r="W624" s="454"/>
      <c r="X624" s="454"/>
      <c r="Y624" s="454"/>
      <c r="Z624" s="454"/>
      <c r="AA624" s="454"/>
      <c r="AB624" s="454"/>
      <c r="AC624" s="454"/>
      <c r="AD624" s="454"/>
      <c r="AE624" s="454"/>
      <c r="AF624" s="454"/>
      <c r="AG624" s="454"/>
      <c r="AH624" s="454"/>
      <c r="AI624" s="454"/>
      <c r="AJ624" s="769"/>
    </row>
    <row r="625" spans="1:36" ht="14">
      <c r="A625" s="40"/>
      <c r="B625" s="40"/>
      <c r="C625" s="124">
        <v>1</v>
      </c>
      <c r="D625" s="124"/>
      <c r="E625" s="124"/>
      <c r="F625" s="451"/>
      <c r="G625" s="41"/>
      <c r="H625" s="66" t="s">
        <v>35</v>
      </c>
      <c r="I625" s="66"/>
      <c r="J625" s="452"/>
      <c r="K625" s="453"/>
      <c r="L625" s="454"/>
      <c r="M625" s="454"/>
      <c r="N625" s="454"/>
      <c r="O625" s="454"/>
      <c r="P625" s="454"/>
      <c r="Q625" s="454"/>
      <c r="R625" s="454"/>
      <c r="S625" s="454"/>
      <c r="T625" s="454"/>
      <c r="U625" s="454"/>
      <c r="V625" s="454"/>
      <c r="W625" s="454"/>
      <c r="X625" s="454"/>
      <c r="Y625" s="454"/>
      <c r="Z625" s="454"/>
      <c r="AA625" s="454"/>
      <c r="AB625" s="454"/>
      <c r="AC625" s="454"/>
      <c r="AD625" s="454"/>
      <c r="AE625" s="454"/>
      <c r="AF625" s="454"/>
      <c r="AG625" s="454"/>
      <c r="AH625" s="454"/>
      <c r="AI625" s="454"/>
      <c r="AJ625" s="769"/>
    </row>
    <row r="626" spans="1:36" ht="14">
      <c r="A626" s="40"/>
      <c r="B626" s="40"/>
      <c r="C626" s="124"/>
      <c r="D626" s="124">
        <v>1</v>
      </c>
      <c r="E626" s="124" t="s">
        <v>198</v>
      </c>
      <c r="F626" s="451"/>
      <c r="G626" s="41"/>
      <c r="H626" s="66"/>
      <c r="I626" s="66" t="s">
        <v>180</v>
      </c>
      <c r="J626" s="452"/>
      <c r="K626" s="453"/>
      <c r="L626" s="454"/>
      <c r="M626" s="454">
        <v>220472</v>
      </c>
      <c r="N626" s="454"/>
      <c r="O626" s="454"/>
      <c r="P626" s="454"/>
      <c r="Q626" s="454"/>
      <c r="R626" s="454"/>
      <c r="S626" s="217">
        <f t="shared" ref="S626:S629" si="670">SUM(M626:R626)</f>
        <v>220472</v>
      </c>
      <c r="T626" s="217">
        <f t="shared" ref="T626:T629" si="671">S626+L626</f>
        <v>220472</v>
      </c>
      <c r="U626" s="454"/>
      <c r="V626" s="454"/>
      <c r="W626" s="454"/>
      <c r="X626" s="454">
        <v>60102</v>
      </c>
      <c r="Y626" s="454"/>
      <c r="Z626" s="217">
        <f>SUM(U626:Y626)</f>
        <v>60102</v>
      </c>
      <c r="AA626" s="217">
        <f>Z626+T626</f>
        <v>280574</v>
      </c>
      <c r="AB626" s="454"/>
      <c r="AC626" s="454"/>
      <c r="AD626" s="454"/>
      <c r="AE626" s="454">
        <v>-19973</v>
      </c>
      <c r="AF626" s="454"/>
      <c r="AG626" s="217">
        <f t="shared" ref="AG626:AG629" si="672">SUM(AB626:AF626)</f>
        <v>-19973</v>
      </c>
      <c r="AH626" s="217">
        <f t="shared" ref="AH626:AH629" si="673">AG626+AA626</f>
        <v>260601</v>
      </c>
      <c r="AI626" s="217">
        <v>260601</v>
      </c>
      <c r="AJ626" s="764">
        <f>AI626/AH626*100</f>
        <v>100</v>
      </c>
    </row>
    <row r="627" spans="1:36" ht="14">
      <c r="A627" s="40"/>
      <c r="B627" s="40"/>
      <c r="C627" s="124"/>
      <c r="D627" s="124">
        <v>2</v>
      </c>
      <c r="E627" s="124" t="s">
        <v>198</v>
      </c>
      <c r="F627" s="451"/>
      <c r="G627" s="41"/>
      <c r="H627" s="66"/>
      <c r="I627" s="66" t="s">
        <v>182</v>
      </c>
      <c r="J627" s="452"/>
      <c r="K627" s="453"/>
      <c r="L627" s="454"/>
      <c r="M627" s="454">
        <v>159088</v>
      </c>
      <c r="N627" s="454"/>
      <c r="O627" s="454"/>
      <c r="P627" s="454"/>
      <c r="Q627" s="454"/>
      <c r="R627" s="454"/>
      <c r="S627" s="217">
        <f t="shared" si="670"/>
        <v>159088</v>
      </c>
      <c r="T627" s="217">
        <f t="shared" si="671"/>
        <v>159088</v>
      </c>
      <c r="U627" s="454"/>
      <c r="V627" s="454"/>
      <c r="W627" s="454"/>
      <c r="X627" s="454">
        <v>31074</v>
      </c>
      <c r="Y627" s="454"/>
      <c r="Z627" s="217">
        <f>SUM(U627:Y627)</f>
        <v>31074</v>
      </c>
      <c r="AA627" s="217">
        <f>Z627+T627</f>
        <v>190162</v>
      </c>
      <c r="AB627" s="454"/>
      <c r="AC627" s="454"/>
      <c r="AD627" s="454"/>
      <c r="AE627" s="454">
        <v>-20074</v>
      </c>
      <c r="AF627" s="454"/>
      <c r="AG627" s="217">
        <f t="shared" si="672"/>
        <v>-20074</v>
      </c>
      <c r="AH627" s="217">
        <f t="shared" si="673"/>
        <v>170088</v>
      </c>
      <c r="AI627" s="217">
        <v>169726</v>
      </c>
      <c r="AJ627" s="764">
        <f t="shared" ref="AJ627:AJ629" si="674">AI627/AH627*100</f>
        <v>99.787168994873241</v>
      </c>
    </row>
    <row r="628" spans="1:36" ht="14">
      <c r="A628" s="40"/>
      <c r="B628" s="40"/>
      <c r="C628" s="124"/>
      <c r="D628" s="124">
        <v>3</v>
      </c>
      <c r="E628" s="124" t="s">
        <v>198</v>
      </c>
      <c r="F628" s="451"/>
      <c r="G628" s="41"/>
      <c r="H628" s="66"/>
      <c r="I628" s="66" t="s">
        <v>116</v>
      </c>
      <c r="J628" s="452"/>
      <c r="K628" s="453"/>
      <c r="L628" s="454"/>
      <c r="M628" s="454">
        <v>259528</v>
      </c>
      <c r="N628" s="454"/>
      <c r="O628" s="454"/>
      <c r="P628" s="454"/>
      <c r="Q628" s="454"/>
      <c r="R628" s="454"/>
      <c r="S628" s="217">
        <f t="shared" si="670"/>
        <v>259528</v>
      </c>
      <c r="T628" s="217">
        <f t="shared" si="671"/>
        <v>259528</v>
      </c>
      <c r="U628" s="454"/>
      <c r="V628" s="454"/>
      <c r="W628" s="454"/>
      <c r="X628" s="454">
        <v>1342787</v>
      </c>
      <c r="Y628" s="454"/>
      <c r="Z628" s="217">
        <f>SUM(U628:Y628)</f>
        <v>1342787</v>
      </c>
      <c r="AA628" s="217">
        <f>Z628+T628</f>
        <v>1602315</v>
      </c>
      <c r="AB628" s="454"/>
      <c r="AC628" s="454"/>
      <c r="AD628" s="454"/>
      <c r="AE628" s="454">
        <v>365047</v>
      </c>
      <c r="AF628" s="454"/>
      <c r="AG628" s="217">
        <f t="shared" si="672"/>
        <v>365047</v>
      </c>
      <c r="AH628" s="217">
        <f t="shared" si="673"/>
        <v>1967362</v>
      </c>
      <c r="AI628" s="217">
        <v>1785330</v>
      </c>
      <c r="AJ628" s="764">
        <f t="shared" si="674"/>
        <v>90.74740693375189</v>
      </c>
    </row>
    <row r="629" spans="1:36" ht="14">
      <c r="A629" s="40"/>
      <c r="B629" s="40"/>
      <c r="C629" s="124"/>
      <c r="D629" s="124">
        <v>5</v>
      </c>
      <c r="E629" s="124" t="s">
        <v>198</v>
      </c>
      <c r="F629" s="451"/>
      <c r="G629" s="41"/>
      <c r="H629" s="66"/>
      <c r="I629" s="66" t="s">
        <v>185</v>
      </c>
      <c r="J629" s="452">
        <v>3800000</v>
      </c>
      <c r="K629" s="453"/>
      <c r="L629" s="217">
        <f>SUM(J629:K629)</f>
        <v>3800000</v>
      </c>
      <c r="M629" s="217"/>
      <c r="N629" s="217"/>
      <c r="O629" s="217"/>
      <c r="P629" s="217"/>
      <c r="Q629" s="217"/>
      <c r="R629" s="217"/>
      <c r="S629" s="217">
        <f t="shared" si="670"/>
        <v>0</v>
      </c>
      <c r="T629" s="217">
        <f t="shared" si="671"/>
        <v>3800000</v>
      </c>
      <c r="U629" s="217"/>
      <c r="V629" s="217"/>
      <c r="W629" s="217"/>
      <c r="X629" s="217">
        <v>-542787</v>
      </c>
      <c r="Y629" s="217"/>
      <c r="Z629" s="217">
        <f>SUM(U629:Y629)</f>
        <v>-542787</v>
      </c>
      <c r="AA629" s="217">
        <f>Z629+T629</f>
        <v>3257213</v>
      </c>
      <c r="AB629" s="217"/>
      <c r="AC629" s="217"/>
      <c r="AD629" s="217"/>
      <c r="AE629" s="217">
        <v>-127000</v>
      </c>
      <c r="AF629" s="217"/>
      <c r="AG629" s="217">
        <f t="shared" si="672"/>
        <v>-127000</v>
      </c>
      <c r="AH629" s="217">
        <f t="shared" si="673"/>
        <v>3130213</v>
      </c>
      <c r="AI629" s="217">
        <v>3030000</v>
      </c>
      <c r="AJ629" s="764">
        <f t="shared" si="674"/>
        <v>96.798524573247889</v>
      </c>
    </row>
    <row r="630" spans="1:36" ht="4.5" customHeight="1">
      <c r="A630" s="40"/>
      <c r="B630" s="40"/>
      <c r="C630" s="124"/>
      <c r="D630" s="124"/>
      <c r="E630" s="124"/>
      <c r="F630" s="451"/>
      <c r="G630" s="41"/>
      <c r="H630" s="66"/>
      <c r="I630" s="66"/>
      <c r="J630" s="452"/>
      <c r="K630" s="453"/>
      <c r="L630" s="454"/>
      <c r="M630" s="454"/>
      <c r="N630" s="454"/>
      <c r="O630" s="454"/>
      <c r="P630" s="454"/>
      <c r="Q630" s="454"/>
      <c r="R630" s="454"/>
      <c r="S630" s="454"/>
      <c r="T630" s="454"/>
      <c r="U630" s="454"/>
      <c r="V630" s="454"/>
      <c r="W630" s="454"/>
      <c r="X630" s="454"/>
      <c r="Y630" s="454"/>
      <c r="Z630" s="454"/>
      <c r="AA630" s="454"/>
      <c r="AB630" s="454"/>
      <c r="AC630" s="454"/>
      <c r="AD630" s="454"/>
      <c r="AE630" s="454"/>
      <c r="AF630" s="454"/>
      <c r="AG630" s="454"/>
      <c r="AH630" s="454"/>
      <c r="AI630" s="454"/>
      <c r="AJ630" s="769"/>
    </row>
    <row r="631" spans="1:36" ht="13.5" customHeight="1">
      <c r="A631" s="40"/>
      <c r="B631" s="40"/>
      <c r="C631" s="124"/>
      <c r="D631" s="124"/>
      <c r="E631" s="124"/>
      <c r="F631" s="173"/>
      <c r="G631" s="64"/>
      <c r="H631" s="65"/>
      <c r="I631" s="64" t="s">
        <v>38</v>
      </c>
      <c r="J631" s="333">
        <f>SUM(J629:J630)</f>
        <v>3800000</v>
      </c>
      <c r="K631" s="457"/>
      <c r="L631" s="458">
        <f t="shared" ref="L631:M631" si="675">SUM(L626:L629)</f>
        <v>3800000</v>
      </c>
      <c r="M631" s="458">
        <f t="shared" si="675"/>
        <v>639088</v>
      </c>
      <c r="N631" s="458">
        <f t="shared" ref="N631:T631" si="676">SUM(N626:N629)</f>
        <v>0</v>
      </c>
      <c r="O631" s="458">
        <f t="shared" si="676"/>
        <v>0</v>
      </c>
      <c r="P631" s="458">
        <f t="shared" si="676"/>
        <v>0</v>
      </c>
      <c r="Q631" s="458">
        <f t="shared" si="676"/>
        <v>0</v>
      </c>
      <c r="R631" s="458">
        <f t="shared" si="676"/>
        <v>0</v>
      </c>
      <c r="S631" s="458">
        <f t="shared" si="676"/>
        <v>639088</v>
      </c>
      <c r="T631" s="458">
        <f t="shared" si="676"/>
        <v>4439088</v>
      </c>
      <c r="U631" s="458"/>
      <c r="V631" s="458"/>
      <c r="W631" s="458"/>
      <c r="X631" s="458">
        <f t="shared" ref="X631" si="677">SUM(X626:X629)</f>
        <v>891176</v>
      </c>
      <c r="Y631" s="458"/>
      <c r="Z631" s="458">
        <f t="shared" ref="Z631:AA631" si="678">SUM(Z626:Z629)</f>
        <v>891176</v>
      </c>
      <c r="AA631" s="458">
        <f t="shared" si="678"/>
        <v>5330264</v>
      </c>
      <c r="AB631" s="458"/>
      <c r="AC631" s="458"/>
      <c r="AD631" s="458"/>
      <c r="AE631" s="458">
        <f t="shared" ref="AE631" si="679">SUM(AE626:AE629)</f>
        <v>198000</v>
      </c>
      <c r="AF631" s="458"/>
      <c r="AG631" s="458">
        <f t="shared" ref="AG631:AH631" si="680">SUM(AG626:AG629)</f>
        <v>198000</v>
      </c>
      <c r="AH631" s="458">
        <f t="shared" si="680"/>
        <v>5528264</v>
      </c>
      <c r="AI631" s="458">
        <f t="shared" ref="AI631" si="681">SUM(AI626:AI629)</f>
        <v>5245657</v>
      </c>
      <c r="AJ631" s="770">
        <f>AI631/AH631*100</f>
        <v>94.887961211693224</v>
      </c>
    </row>
    <row r="632" spans="1:36" ht="13.5" customHeight="1">
      <c r="A632" s="40"/>
      <c r="B632" s="40"/>
      <c r="C632" s="124"/>
      <c r="D632" s="124"/>
      <c r="E632" s="124"/>
      <c r="F632" s="41"/>
      <c r="G632" s="41"/>
      <c r="H632" s="66"/>
      <c r="I632" s="41"/>
      <c r="J632" s="126"/>
      <c r="K632" s="204"/>
      <c r="L632" s="205"/>
      <c r="M632" s="205"/>
      <c r="N632" s="205"/>
      <c r="O632" s="205"/>
      <c r="P632" s="205"/>
      <c r="Q632" s="205"/>
      <c r="R632" s="205"/>
      <c r="S632" s="205"/>
      <c r="T632" s="205"/>
      <c r="U632" s="205"/>
      <c r="V632" s="205"/>
      <c r="W632" s="205"/>
      <c r="X632" s="205"/>
      <c r="Y632" s="205"/>
      <c r="Z632" s="205"/>
      <c r="AA632" s="205"/>
      <c r="AB632" s="205"/>
      <c r="AC632" s="205"/>
      <c r="AD632" s="205"/>
      <c r="AE632" s="205"/>
      <c r="AF632" s="205"/>
      <c r="AG632" s="205"/>
      <c r="AH632" s="205"/>
      <c r="AI632" s="205"/>
      <c r="AJ632" s="747"/>
    </row>
    <row r="633" spans="1:36" ht="13.5" customHeight="1">
      <c r="A633" s="677"/>
      <c r="B633" s="677"/>
      <c r="C633" s="465"/>
      <c r="D633" s="465"/>
      <c r="E633" s="465"/>
      <c r="F633" s="464"/>
      <c r="G633" s="166"/>
      <c r="H633" s="464"/>
      <c r="I633" s="166" t="s">
        <v>37</v>
      </c>
      <c r="J633" s="460">
        <f>SUM(J570:J632)/2</f>
        <v>15524069</v>
      </c>
      <c r="K633" s="461"/>
      <c r="L633" s="460">
        <f>SUM(L570:L632)/2</f>
        <v>15524069</v>
      </c>
      <c r="M633" s="460">
        <f t="shared" ref="M633:T633" si="682">SUM(M570:M632)/2</f>
        <v>3303584</v>
      </c>
      <c r="N633" s="460">
        <f t="shared" si="682"/>
        <v>0</v>
      </c>
      <c r="O633" s="460">
        <f t="shared" si="682"/>
        <v>0</v>
      </c>
      <c r="P633" s="460">
        <f t="shared" si="682"/>
        <v>1710000</v>
      </c>
      <c r="Q633" s="460">
        <f t="shared" si="682"/>
        <v>0</v>
      </c>
      <c r="R633" s="460">
        <f t="shared" si="682"/>
        <v>0</v>
      </c>
      <c r="S633" s="460">
        <f t="shared" si="682"/>
        <v>5013584</v>
      </c>
      <c r="T633" s="460">
        <f t="shared" si="682"/>
        <v>20537653</v>
      </c>
      <c r="U633" s="460"/>
      <c r="V633" s="460"/>
      <c r="W633" s="460"/>
      <c r="X633" s="460">
        <f t="shared" ref="X633" si="683">SUM(X570:X632)/2</f>
        <v>700000</v>
      </c>
      <c r="Y633" s="460"/>
      <c r="Z633" s="460">
        <f t="shared" ref="Z633:AA633" si="684">SUM(Z570:Z632)/2</f>
        <v>700000</v>
      </c>
      <c r="AA633" s="460">
        <f t="shared" si="684"/>
        <v>21237653</v>
      </c>
      <c r="AB633" s="460"/>
      <c r="AC633" s="460"/>
      <c r="AD633" s="460"/>
      <c r="AE633" s="460">
        <f t="shared" ref="AE633" si="685">SUM(AE570:AE632)/2</f>
        <v>0</v>
      </c>
      <c r="AF633" s="460"/>
      <c r="AG633" s="460">
        <f t="shared" ref="AG633:AH633" si="686">SUM(AG570:AG632)/2</f>
        <v>0</v>
      </c>
      <c r="AH633" s="460">
        <f t="shared" si="686"/>
        <v>21237653</v>
      </c>
      <c r="AI633" s="460">
        <f t="shared" ref="AI633" si="687">SUM(AI570:AI632)/2</f>
        <v>16516704</v>
      </c>
      <c r="AJ633" s="771">
        <f>AI633/AH633*100</f>
        <v>77.770853493086079</v>
      </c>
    </row>
    <row r="634" spans="1:36" ht="14">
      <c r="A634" s="677"/>
      <c r="B634" s="677"/>
      <c r="C634" s="465"/>
      <c r="D634" s="465"/>
      <c r="E634" s="465"/>
      <c r="F634" s="66"/>
      <c r="G634" s="41"/>
      <c r="H634" s="66"/>
      <c r="I634" s="66"/>
      <c r="J634" s="128"/>
      <c r="K634" s="208"/>
      <c r="L634" s="217"/>
      <c r="M634" s="217"/>
      <c r="N634" s="217"/>
      <c r="O634" s="217"/>
      <c r="P634" s="217"/>
      <c r="Q634" s="217"/>
      <c r="R634" s="217"/>
      <c r="S634" s="217"/>
      <c r="T634" s="217"/>
      <c r="U634" s="217"/>
      <c r="V634" s="217"/>
      <c r="W634" s="217"/>
      <c r="X634" s="217"/>
      <c r="Y634" s="217"/>
      <c r="Z634" s="217"/>
      <c r="AA634" s="217"/>
      <c r="AB634" s="217"/>
      <c r="AC634" s="217"/>
      <c r="AD634" s="217"/>
      <c r="AE634" s="217"/>
      <c r="AF634" s="217"/>
      <c r="AG634" s="217"/>
      <c r="AH634" s="217"/>
      <c r="AI634" s="217"/>
      <c r="AJ634" s="764"/>
    </row>
    <row r="635" spans="1:36" ht="14">
      <c r="A635" s="677">
        <v>17</v>
      </c>
      <c r="B635" s="677"/>
      <c r="C635" s="465"/>
      <c r="D635" s="465"/>
      <c r="E635" s="465"/>
      <c r="F635" s="481" t="s">
        <v>205</v>
      </c>
      <c r="G635" s="481"/>
      <c r="H635" s="125"/>
      <c r="I635" s="66"/>
      <c r="J635" s="452"/>
      <c r="K635" s="453"/>
      <c r="L635" s="454"/>
      <c r="M635" s="454"/>
      <c r="N635" s="454"/>
      <c r="O635" s="454"/>
      <c r="P635" s="454"/>
      <c r="Q635" s="454"/>
      <c r="R635" s="454"/>
      <c r="S635" s="454"/>
      <c r="T635" s="454"/>
      <c r="U635" s="454"/>
      <c r="V635" s="454"/>
      <c r="W635" s="454"/>
      <c r="X635" s="454"/>
      <c r="Y635" s="454"/>
      <c r="Z635" s="454"/>
      <c r="AA635" s="454"/>
      <c r="AB635" s="454"/>
      <c r="AC635" s="454"/>
      <c r="AD635" s="454"/>
      <c r="AE635" s="454"/>
      <c r="AF635" s="454"/>
      <c r="AG635" s="454"/>
      <c r="AH635" s="454"/>
      <c r="AI635" s="454"/>
      <c r="AJ635" s="769"/>
    </row>
    <row r="636" spans="1:36" ht="14">
      <c r="A636" s="677"/>
      <c r="B636" s="677"/>
      <c r="C636" s="465">
        <v>1</v>
      </c>
      <c r="D636" s="465"/>
      <c r="E636" s="465"/>
      <c r="F636" s="125"/>
      <c r="G636" s="481"/>
      <c r="H636" s="66" t="s">
        <v>35</v>
      </c>
      <c r="I636" s="125"/>
      <c r="J636" s="452"/>
      <c r="K636" s="453"/>
      <c r="L636" s="454"/>
      <c r="M636" s="454"/>
      <c r="N636" s="454"/>
      <c r="O636" s="454"/>
      <c r="P636" s="454"/>
      <c r="Q636" s="454"/>
      <c r="R636" s="454"/>
      <c r="S636" s="454"/>
      <c r="T636" s="454"/>
      <c r="U636" s="454"/>
      <c r="V636" s="454"/>
      <c r="W636" s="454"/>
      <c r="X636" s="454"/>
      <c r="Y636" s="454"/>
      <c r="Z636" s="454"/>
      <c r="AA636" s="454"/>
      <c r="AB636" s="454"/>
      <c r="AC636" s="454"/>
      <c r="AD636" s="454"/>
      <c r="AE636" s="454"/>
      <c r="AF636" s="454"/>
      <c r="AG636" s="454"/>
      <c r="AH636" s="454"/>
      <c r="AI636" s="454"/>
      <c r="AJ636" s="769"/>
    </row>
    <row r="637" spans="1:36" ht="14">
      <c r="A637" s="677"/>
      <c r="B637" s="677"/>
      <c r="C637" s="465"/>
      <c r="D637" s="124">
        <v>1</v>
      </c>
      <c r="E637" s="124" t="s">
        <v>198</v>
      </c>
      <c r="F637" s="451"/>
      <c r="G637" s="41"/>
      <c r="H637" s="66"/>
      <c r="I637" s="66" t="s">
        <v>180</v>
      </c>
      <c r="J637" s="452">
        <v>700000</v>
      </c>
      <c r="K637" s="453"/>
      <c r="L637" s="217">
        <f>SUM(J637:K637)</f>
        <v>700000</v>
      </c>
      <c r="M637" s="217">
        <v>421861</v>
      </c>
      <c r="N637" s="217"/>
      <c r="O637" s="217"/>
      <c r="P637" s="217"/>
      <c r="Q637" s="217"/>
      <c r="R637" s="217"/>
      <c r="S637" s="217">
        <f t="shared" ref="S637:S639" si="688">SUM(M637:R637)</f>
        <v>421861</v>
      </c>
      <c r="T637" s="217">
        <f t="shared" ref="T637:T639" si="689">S637+L637</f>
        <v>1121861</v>
      </c>
      <c r="U637" s="217"/>
      <c r="V637" s="217"/>
      <c r="W637" s="217"/>
      <c r="X637" s="217"/>
      <c r="Y637" s="217"/>
      <c r="Z637" s="217">
        <f>SUM(U637:Y637)</f>
        <v>0</v>
      </c>
      <c r="AA637" s="217">
        <f>Z637+T637</f>
        <v>1121861</v>
      </c>
      <c r="AB637" s="217"/>
      <c r="AC637" s="217"/>
      <c r="AD637" s="217"/>
      <c r="AE637" s="217"/>
      <c r="AF637" s="217"/>
      <c r="AG637" s="217">
        <f t="shared" ref="AG637:AG639" si="690">SUM(AB637:AF637)</f>
        <v>0</v>
      </c>
      <c r="AH637" s="217">
        <f t="shared" ref="AH637:AH639" si="691">AG637+AA637</f>
        <v>1121861</v>
      </c>
      <c r="AI637" s="217">
        <v>518505</v>
      </c>
      <c r="AJ637" s="764">
        <f t="shared" ref="AJ637:AJ639" si="692">AI637/AH637*100</f>
        <v>46.218292640532113</v>
      </c>
    </row>
    <row r="638" spans="1:36" ht="14">
      <c r="A638" s="677"/>
      <c r="B638" s="677"/>
      <c r="C638" s="465"/>
      <c r="D638" s="124">
        <v>2</v>
      </c>
      <c r="E638" s="124" t="s">
        <v>198</v>
      </c>
      <c r="F638" s="451"/>
      <c r="G638" s="41"/>
      <c r="H638" s="66"/>
      <c r="I638" s="66" t="s">
        <v>182</v>
      </c>
      <c r="J638" s="452">
        <v>122850</v>
      </c>
      <c r="K638" s="453"/>
      <c r="L638" s="217">
        <f>SUM(J638:K638)</f>
        <v>122850</v>
      </c>
      <c r="M638" s="217">
        <v>465342</v>
      </c>
      <c r="N638" s="217"/>
      <c r="O638" s="217"/>
      <c r="P638" s="217"/>
      <c r="Q638" s="217"/>
      <c r="R638" s="217"/>
      <c r="S638" s="217">
        <f t="shared" si="688"/>
        <v>465342</v>
      </c>
      <c r="T638" s="217">
        <f t="shared" si="689"/>
        <v>588192</v>
      </c>
      <c r="U638" s="217"/>
      <c r="V638" s="217"/>
      <c r="W638" s="217"/>
      <c r="X638" s="217"/>
      <c r="Y638" s="217"/>
      <c r="Z638" s="217">
        <f>SUM(U638:Y638)</f>
        <v>0</v>
      </c>
      <c r="AA638" s="217">
        <f>Z638+T638</f>
        <v>588192</v>
      </c>
      <c r="AB638" s="217"/>
      <c r="AC638" s="217"/>
      <c r="AD638" s="217"/>
      <c r="AE638" s="217"/>
      <c r="AF638" s="217"/>
      <c r="AG638" s="217">
        <f t="shared" si="690"/>
        <v>0</v>
      </c>
      <c r="AH638" s="217">
        <f t="shared" si="691"/>
        <v>588192</v>
      </c>
      <c r="AI638" s="217">
        <v>277875</v>
      </c>
      <c r="AJ638" s="764">
        <f t="shared" si="692"/>
        <v>47.242227027909259</v>
      </c>
    </row>
    <row r="639" spans="1:36" ht="14">
      <c r="A639" s="677"/>
      <c r="B639" s="677"/>
      <c r="C639" s="465"/>
      <c r="D639" s="124">
        <v>3</v>
      </c>
      <c r="E639" s="124" t="s">
        <v>198</v>
      </c>
      <c r="F639" s="451"/>
      <c r="G639" s="41"/>
      <c r="H639" s="66"/>
      <c r="I639" s="66" t="s">
        <v>116</v>
      </c>
      <c r="J639" s="452">
        <v>1450000</v>
      </c>
      <c r="K639" s="453"/>
      <c r="L639" s="217">
        <f>SUM(J639:K639)</f>
        <v>1450000</v>
      </c>
      <c r="M639" s="217">
        <v>394279</v>
      </c>
      <c r="N639" s="217"/>
      <c r="O639" s="217"/>
      <c r="P639" s="217"/>
      <c r="Q639" s="217"/>
      <c r="R639" s="217"/>
      <c r="S639" s="217">
        <f t="shared" si="688"/>
        <v>394279</v>
      </c>
      <c r="T639" s="217">
        <f t="shared" si="689"/>
        <v>1844279</v>
      </c>
      <c r="U639" s="217"/>
      <c r="V639" s="217"/>
      <c r="W639" s="217"/>
      <c r="X639" s="217"/>
      <c r="Y639" s="217"/>
      <c r="Z639" s="217">
        <f>SUM(U639:Y639)</f>
        <v>0</v>
      </c>
      <c r="AA639" s="217">
        <f>Z639+T639</f>
        <v>1844279</v>
      </c>
      <c r="AB639" s="217"/>
      <c r="AC639" s="217"/>
      <c r="AD639" s="217"/>
      <c r="AE639" s="217"/>
      <c r="AF639" s="217"/>
      <c r="AG639" s="217">
        <f t="shared" si="690"/>
        <v>0</v>
      </c>
      <c r="AH639" s="217">
        <f t="shared" si="691"/>
        <v>1844279</v>
      </c>
      <c r="AI639" s="217">
        <v>993190</v>
      </c>
      <c r="AJ639" s="764">
        <f t="shared" si="692"/>
        <v>53.852481105082262</v>
      </c>
    </row>
    <row r="640" spans="1:36" ht="14">
      <c r="A640" s="677"/>
      <c r="B640" s="677"/>
      <c r="C640" s="465"/>
      <c r="D640" s="465"/>
      <c r="E640" s="465"/>
      <c r="F640" s="125"/>
      <c r="G640" s="481"/>
      <c r="H640" s="125"/>
      <c r="I640" s="125"/>
      <c r="J640" s="452"/>
      <c r="K640" s="453"/>
      <c r="L640" s="454"/>
      <c r="M640" s="454"/>
      <c r="N640" s="454"/>
      <c r="O640" s="454"/>
      <c r="P640" s="454"/>
      <c r="Q640" s="454"/>
      <c r="R640" s="454"/>
      <c r="S640" s="454"/>
      <c r="T640" s="454"/>
      <c r="U640" s="454"/>
      <c r="V640" s="454"/>
      <c r="W640" s="454"/>
      <c r="X640" s="454"/>
      <c r="Y640" s="454"/>
      <c r="Z640" s="454"/>
      <c r="AA640" s="454"/>
      <c r="AB640" s="454"/>
      <c r="AC640" s="454"/>
      <c r="AD640" s="454"/>
      <c r="AE640" s="454"/>
      <c r="AF640" s="454"/>
      <c r="AG640" s="454"/>
      <c r="AH640" s="454"/>
      <c r="AI640" s="454"/>
      <c r="AJ640" s="769"/>
    </row>
    <row r="641" spans="1:36" ht="14">
      <c r="A641" s="677"/>
      <c r="B641" s="677"/>
      <c r="C641" s="465"/>
      <c r="D641" s="465"/>
      <c r="E641" s="465"/>
      <c r="F641" s="464"/>
      <c r="G641" s="166"/>
      <c r="H641" s="464"/>
      <c r="I641" s="166" t="s">
        <v>37</v>
      </c>
      <c r="J641" s="460">
        <f>SUM(J637:J640)</f>
        <v>2272850</v>
      </c>
      <c r="K641" s="461"/>
      <c r="L641" s="460">
        <f>SUM(L634:L640)</f>
        <v>2272850</v>
      </c>
      <c r="M641" s="460">
        <f t="shared" ref="M641:T641" si="693">SUM(M634:M640)</f>
        <v>1281482</v>
      </c>
      <c r="N641" s="460">
        <f t="shared" si="693"/>
        <v>0</v>
      </c>
      <c r="O641" s="460">
        <f t="shared" si="693"/>
        <v>0</v>
      </c>
      <c r="P641" s="460">
        <f t="shared" si="693"/>
        <v>0</v>
      </c>
      <c r="Q641" s="460">
        <f t="shared" si="693"/>
        <v>0</v>
      </c>
      <c r="R641" s="460">
        <f t="shared" si="693"/>
        <v>0</v>
      </c>
      <c r="S641" s="460">
        <f t="shared" si="693"/>
        <v>1281482</v>
      </c>
      <c r="T641" s="460">
        <f t="shared" si="693"/>
        <v>3554332</v>
      </c>
      <c r="U641" s="460"/>
      <c r="V641" s="460"/>
      <c r="W641" s="460"/>
      <c r="X641" s="460"/>
      <c r="Y641" s="460"/>
      <c r="Z641" s="460">
        <f t="shared" ref="Z641:AA641" si="694">SUM(Z634:Z640)</f>
        <v>0</v>
      </c>
      <c r="AA641" s="460">
        <f t="shared" si="694"/>
        <v>3554332</v>
      </c>
      <c r="AB641" s="460"/>
      <c r="AC641" s="460"/>
      <c r="AD641" s="460"/>
      <c r="AE641" s="460"/>
      <c r="AF641" s="460"/>
      <c r="AG641" s="460">
        <f t="shared" ref="AG641:AI641" si="695">SUM(AG634:AG640)</f>
        <v>0</v>
      </c>
      <c r="AH641" s="460">
        <f t="shared" si="695"/>
        <v>3554332</v>
      </c>
      <c r="AI641" s="460">
        <f t="shared" si="695"/>
        <v>1789570</v>
      </c>
      <c r="AJ641" s="770">
        <f>AI641/AH641*100</f>
        <v>50.348982593635036</v>
      </c>
    </row>
    <row r="642" spans="1:36" ht="14">
      <c r="A642" s="677"/>
      <c r="B642" s="677"/>
      <c r="C642" s="465"/>
      <c r="D642" s="465"/>
      <c r="E642" s="465"/>
      <c r="F642" s="66"/>
      <c r="G642" s="41"/>
      <c r="H642" s="66"/>
      <c r="I642" s="41"/>
      <c r="J642" s="126"/>
      <c r="K642" s="204"/>
      <c r="L642" s="205"/>
      <c r="M642" s="205"/>
      <c r="N642" s="205"/>
      <c r="O642" s="205"/>
      <c r="P642" s="205"/>
      <c r="Q642" s="205"/>
      <c r="R642" s="205"/>
      <c r="S642" s="205"/>
      <c r="T642" s="205"/>
      <c r="U642" s="205"/>
      <c r="V642" s="205"/>
      <c r="W642" s="205"/>
      <c r="X642" s="205"/>
      <c r="Y642" s="205"/>
      <c r="Z642" s="205"/>
      <c r="AA642" s="205"/>
      <c r="AB642" s="205"/>
      <c r="AC642" s="205"/>
      <c r="AD642" s="205"/>
      <c r="AE642" s="205"/>
      <c r="AF642" s="205"/>
      <c r="AG642" s="205"/>
      <c r="AH642" s="205"/>
      <c r="AI642" s="205"/>
      <c r="AJ642" s="747"/>
    </row>
    <row r="643" spans="1:36" ht="14">
      <c r="A643" s="677">
        <v>18</v>
      </c>
      <c r="B643" s="677"/>
      <c r="C643" s="465"/>
      <c r="D643" s="465"/>
      <c r="E643" s="465"/>
      <c r="F643" s="481" t="s">
        <v>203</v>
      </c>
      <c r="G643" s="481"/>
      <c r="H643" s="125"/>
      <c r="I643" s="66"/>
      <c r="J643" s="452"/>
      <c r="K643" s="453"/>
      <c r="L643" s="454"/>
      <c r="M643" s="454"/>
      <c r="N643" s="454"/>
      <c r="O643" s="454"/>
      <c r="P643" s="454"/>
      <c r="Q643" s="454"/>
      <c r="R643" s="454"/>
      <c r="S643" s="454"/>
      <c r="T643" s="454"/>
      <c r="U643" s="454"/>
      <c r="V643" s="454"/>
      <c r="W643" s="454"/>
      <c r="X643" s="454"/>
      <c r="Y643" s="454"/>
      <c r="Z643" s="454"/>
      <c r="AA643" s="454"/>
      <c r="AB643" s="454"/>
      <c r="AC643" s="454"/>
      <c r="AD643" s="454"/>
      <c r="AE643" s="454"/>
      <c r="AF643" s="454"/>
      <c r="AG643" s="454"/>
      <c r="AH643" s="454"/>
      <c r="AI643" s="454"/>
      <c r="AJ643" s="769"/>
    </row>
    <row r="644" spans="1:36" ht="32" customHeight="1">
      <c r="A644" s="677"/>
      <c r="B644" s="677">
        <v>1</v>
      </c>
      <c r="C644" s="465"/>
      <c r="D644" s="465"/>
      <c r="E644" s="465"/>
      <c r="F644" s="481"/>
      <c r="G644" s="943" t="s">
        <v>204</v>
      </c>
      <c r="H644" s="943"/>
      <c r="I644" s="936"/>
      <c r="J644" s="452"/>
      <c r="K644" s="453"/>
      <c r="L644" s="454"/>
      <c r="M644" s="454"/>
      <c r="N644" s="454"/>
      <c r="O644" s="454"/>
      <c r="P644" s="454"/>
      <c r="Q644" s="454"/>
      <c r="R644" s="454"/>
      <c r="S644" s="454"/>
      <c r="T644" s="454"/>
      <c r="U644" s="454"/>
      <c r="V644" s="454"/>
      <c r="W644" s="454"/>
      <c r="X644" s="454"/>
      <c r="Y644" s="454"/>
      <c r="Z644" s="454"/>
      <c r="AA644" s="454"/>
      <c r="AB644" s="454"/>
      <c r="AC644" s="454"/>
      <c r="AD644" s="454"/>
      <c r="AE644" s="454"/>
      <c r="AF644" s="454"/>
      <c r="AG644" s="454"/>
      <c r="AH644" s="454"/>
      <c r="AI644" s="454"/>
      <c r="AJ644" s="769"/>
    </row>
    <row r="645" spans="1:36" ht="13.5" customHeight="1">
      <c r="A645" s="677"/>
      <c r="B645" s="677"/>
      <c r="C645" s="465">
        <v>1</v>
      </c>
      <c r="D645" s="465"/>
      <c r="E645" s="465"/>
      <c r="F645" s="125"/>
      <c r="G645" s="481"/>
      <c r="H645" s="66" t="s">
        <v>35</v>
      </c>
      <c r="I645" s="125"/>
      <c r="J645" s="452"/>
      <c r="K645" s="453"/>
      <c r="L645" s="454"/>
      <c r="M645" s="454"/>
      <c r="N645" s="454"/>
      <c r="O645" s="454"/>
      <c r="P645" s="454"/>
      <c r="Q645" s="454"/>
      <c r="R645" s="454"/>
      <c r="S645" s="454"/>
      <c r="T645" s="454"/>
      <c r="U645" s="454"/>
      <c r="V645" s="454"/>
      <c r="W645" s="454"/>
      <c r="X645" s="454"/>
      <c r="Y645" s="454"/>
      <c r="Z645" s="454"/>
      <c r="AA645" s="454"/>
      <c r="AB645" s="454"/>
      <c r="AC645" s="454"/>
      <c r="AD645" s="454"/>
      <c r="AE645" s="454"/>
      <c r="AF645" s="454"/>
      <c r="AG645" s="454"/>
      <c r="AH645" s="454"/>
      <c r="AI645" s="454"/>
      <c r="AJ645" s="769"/>
    </row>
    <row r="646" spans="1:36" ht="13.5" customHeight="1">
      <c r="A646" s="677"/>
      <c r="B646" s="677"/>
      <c r="C646" s="465"/>
      <c r="D646" s="124">
        <v>1</v>
      </c>
      <c r="E646" s="124" t="s">
        <v>199</v>
      </c>
      <c r="F646" s="451"/>
      <c r="G646" s="41"/>
      <c r="H646" s="66"/>
      <c r="I646" s="66" t="s">
        <v>180</v>
      </c>
      <c r="J646" s="452">
        <v>2500000</v>
      </c>
      <c r="K646" s="453"/>
      <c r="L646" s="217">
        <f>SUM(J646:K646)</f>
        <v>2500000</v>
      </c>
      <c r="M646" s="217">
        <v>1361975</v>
      </c>
      <c r="N646" s="217"/>
      <c r="O646" s="217"/>
      <c r="P646" s="217"/>
      <c r="Q646" s="217"/>
      <c r="R646" s="217"/>
      <c r="S646" s="217">
        <f t="shared" ref="S646:S648" si="696">SUM(M646:R646)</f>
        <v>1361975</v>
      </c>
      <c r="T646" s="217">
        <f t="shared" ref="T646:T648" si="697">S646+L646</f>
        <v>3861975</v>
      </c>
      <c r="U646" s="217"/>
      <c r="V646" s="217"/>
      <c r="W646" s="217"/>
      <c r="X646" s="217">
        <v>-540536</v>
      </c>
      <c r="Y646" s="217"/>
      <c r="Z646" s="217">
        <f>SUM(U646:Y646)</f>
        <v>-540536</v>
      </c>
      <c r="AA646" s="217">
        <f>Z646+T646</f>
        <v>3321439</v>
      </c>
      <c r="AB646" s="217"/>
      <c r="AC646" s="217"/>
      <c r="AD646" s="217"/>
      <c r="AE646" s="217"/>
      <c r="AF646" s="217"/>
      <c r="AG646" s="217">
        <f t="shared" ref="AG646:AG648" si="698">SUM(AB646:AF646)</f>
        <v>0</v>
      </c>
      <c r="AH646" s="217">
        <f t="shared" ref="AH646:AH648" si="699">AG646+AA646</f>
        <v>3321439</v>
      </c>
      <c r="AI646" s="217">
        <v>1319341</v>
      </c>
      <c r="AJ646" s="764">
        <f t="shared" ref="AJ646:AJ648" si="700">AI646/AH646*100</f>
        <v>39.721969905212774</v>
      </c>
    </row>
    <row r="647" spans="1:36" ht="13.5" customHeight="1">
      <c r="A647" s="677"/>
      <c r="B647" s="677"/>
      <c r="C647" s="465"/>
      <c r="D647" s="124">
        <v>2</v>
      </c>
      <c r="E647" s="124" t="s">
        <v>199</v>
      </c>
      <c r="F647" s="451"/>
      <c r="G647" s="41"/>
      <c r="H647" s="66"/>
      <c r="I647" s="66" t="s">
        <v>182</v>
      </c>
      <c r="J647" s="452">
        <v>438750</v>
      </c>
      <c r="K647" s="453"/>
      <c r="L647" s="217">
        <f>SUM(J647:K647)</f>
        <v>438750</v>
      </c>
      <c r="M647" s="217">
        <v>257632</v>
      </c>
      <c r="N647" s="217"/>
      <c r="O647" s="217"/>
      <c r="P647" s="217"/>
      <c r="Q647" s="217"/>
      <c r="R647" s="217"/>
      <c r="S647" s="217">
        <f t="shared" si="696"/>
        <v>257632</v>
      </c>
      <c r="T647" s="217">
        <f t="shared" si="697"/>
        <v>696382</v>
      </c>
      <c r="U647" s="217"/>
      <c r="V647" s="217"/>
      <c r="W647" s="217"/>
      <c r="X647" s="217">
        <v>-94864</v>
      </c>
      <c r="Y647" s="217"/>
      <c r="Z647" s="217">
        <f>SUM(U647:Y647)</f>
        <v>-94864</v>
      </c>
      <c r="AA647" s="217">
        <f>Z647+T647</f>
        <v>601518</v>
      </c>
      <c r="AB647" s="217"/>
      <c r="AC647" s="217"/>
      <c r="AD647" s="217"/>
      <c r="AE647" s="217"/>
      <c r="AF647" s="217"/>
      <c r="AG647" s="217">
        <f t="shared" si="698"/>
        <v>0</v>
      </c>
      <c r="AH647" s="217">
        <f t="shared" si="699"/>
        <v>601518</v>
      </c>
      <c r="AI647" s="217">
        <v>237356</v>
      </c>
      <c r="AJ647" s="764">
        <f t="shared" si="700"/>
        <v>39.45950079631865</v>
      </c>
    </row>
    <row r="648" spans="1:36" ht="13.5" customHeight="1">
      <c r="A648" s="677"/>
      <c r="B648" s="677"/>
      <c r="C648" s="465"/>
      <c r="D648" s="465">
        <v>3</v>
      </c>
      <c r="E648" s="465" t="s">
        <v>199</v>
      </c>
      <c r="F648" s="125"/>
      <c r="G648" s="481"/>
      <c r="H648" s="125"/>
      <c r="I648" s="125" t="s">
        <v>116</v>
      </c>
      <c r="J648" s="452">
        <v>1162250</v>
      </c>
      <c r="K648" s="453"/>
      <c r="L648" s="217">
        <f>SUM(J648:K648)</f>
        <v>1162250</v>
      </c>
      <c r="M648" s="217">
        <v>1375000</v>
      </c>
      <c r="N648" s="217"/>
      <c r="O648" s="217"/>
      <c r="P648" s="217"/>
      <c r="Q648" s="217"/>
      <c r="R648" s="217"/>
      <c r="S648" s="217">
        <f t="shared" si="696"/>
        <v>1375000</v>
      </c>
      <c r="T648" s="217">
        <f t="shared" si="697"/>
        <v>2537250</v>
      </c>
      <c r="U648" s="217"/>
      <c r="V648" s="217"/>
      <c r="W648" s="217"/>
      <c r="X648" s="217">
        <v>635400</v>
      </c>
      <c r="Y648" s="217"/>
      <c r="Z648" s="217">
        <f>SUM(U648:Y648)</f>
        <v>635400</v>
      </c>
      <c r="AA648" s="217">
        <f>Z648+T648</f>
        <v>3172650</v>
      </c>
      <c r="AB648" s="217"/>
      <c r="AC648" s="217"/>
      <c r="AD648" s="217"/>
      <c r="AE648" s="217"/>
      <c r="AF648" s="217"/>
      <c r="AG648" s="217">
        <f t="shared" si="698"/>
        <v>0</v>
      </c>
      <c r="AH648" s="217">
        <f t="shared" si="699"/>
        <v>3172650</v>
      </c>
      <c r="AI648" s="217">
        <v>1555200</v>
      </c>
      <c r="AJ648" s="764">
        <f t="shared" si="700"/>
        <v>49.01895891447213</v>
      </c>
    </row>
    <row r="649" spans="1:36" ht="13.5" customHeight="1">
      <c r="A649" s="677"/>
      <c r="B649" s="677"/>
      <c r="C649" s="465"/>
      <c r="D649" s="465"/>
      <c r="E649" s="465"/>
      <c r="F649" s="125"/>
      <c r="G649" s="481"/>
      <c r="H649" s="125"/>
      <c r="I649" s="125"/>
      <c r="J649" s="452"/>
      <c r="K649" s="453"/>
      <c r="L649" s="217"/>
      <c r="M649" s="217"/>
      <c r="N649" s="217"/>
      <c r="O649" s="217"/>
      <c r="P649" s="217"/>
      <c r="Q649" s="217"/>
      <c r="R649" s="217"/>
      <c r="S649" s="217"/>
      <c r="T649" s="217"/>
      <c r="U649" s="217"/>
      <c r="V649" s="217"/>
      <c r="W649" s="217"/>
      <c r="X649" s="217"/>
      <c r="Y649" s="217"/>
      <c r="Z649" s="217"/>
      <c r="AA649" s="217"/>
      <c r="AB649" s="217"/>
      <c r="AC649" s="217"/>
      <c r="AD649" s="217"/>
      <c r="AE649" s="217"/>
      <c r="AF649" s="217"/>
      <c r="AG649" s="217"/>
      <c r="AH649" s="217"/>
      <c r="AI649" s="217"/>
      <c r="AJ649" s="764"/>
    </row>
    <row r="650" spans="1:36" ht="13.5" customHeight="1">
      <c r="A650" s="40"/>
      <c r="B650" s="40"/>
      <c r="C650" s="124"/>
      <c r="D650" s="124"/>
      <c r="E650" s="124"/>
      <c r="F650" s="173"/>
      <c r="G650" s="64"/>
      <c r="H650" s="65"/>
      <c r="I650" s="64" t="s">
        <v>38</v>
      </c>
      <c r="J650" s="333">
        <f>SUM(J646:J649)</f>
        <v>4101000</v>
      </c>
      <c r="K650" s="457"/>
      <c r="L650" s="458">
        <f>SUM(L646:L649)</f>
        <v>4101000</v>
      </c>
      <c r="M650" s="458">
        <f t="shared" ref="M650:T650" si="701">SUM(M646:M649)</f>
        <v>2994607</v>
      </c>
      <c r="N650" s="458">
        <f t="shared" si="701"/>
        <v>0</v>
      </c>
      <c r="O650" s="458">
        <f t="shared" si="701"/>
        <v>0</v>
      </c>
      <c r="P650" s="458">
        <f t="shared" si="701"/>
        <v>0</v>
      </c>
      <c r="Q650" s="458">
        <f t="shared" si="701"/>
        <v>0</v>
      </c>
      <c r="R650" s="458">
        <f t="shared" si="701"/>
        <v>0</v>
      </c>
      <c r="S650" s="458">
        <f t="shared" si="701"/>
        <v>2994607</v>
      </c>
      <c r="T650" s="458">
        <f t="shared" si="701"/>
        <v>7095607</v>
      </c>
      <c r="U650" s="458"/>
      <c r="V650" s="458"/>
      <c r="W650" s="458"/>
      <c r="X650" s="458"/>
      <c r="Y650" s="458"/>
      <c r="Z650" s="458">
        <f t="shared" ref="Z650:AA650" si="702">SUM(Z646:Z649)</f>
        <v>0</v>
      </c>
      <c r="AA650" s="458">
        <f t="shared" si="702"/>
        <v>7095607</v>
      </c>
      <c r="AB650" s="458"/>
      <c r="AC650" s="458"/>
      <c r="AD650" s="458"/>
      <c r="AE650" s="458"/>
      <c r="AF650" s="458"/>
      <c r="AG650" s="458">
        <f t="shared" ref="AG650:AI650" si="703">SUM(AG646:AG649)</f>
        <v>0</v>
      </c>
      <c r="AH650" s="458">
        <f t="shared" si="703"/>
        <v>7095607</v>
      </c>
      <c r="AI650" s="458">
        <f t="shared" si="703"/>
        <v>3111897</v>
      </c>
      <c r="AJ650" s="770">
        <f>AI650/AH650*100</f>
        <v>43.856670754172264</v>
      </c>
    </row>
    <row r="651" spans="1:36" ht="15" customHeight="1">
      <c r="A651" s="40"/>
      <c r="B651" s="40"/>
      <c r="C651" s="124"/>
      <c r="D651" s="124"/>
      <c r="E651" s="124"/>
      <c r="F651" s="41"/>
      <c r="G651" s="41"/>
      <c r="H651" s="66"/>
      <c r="I651" s="41"/>
      <c r="J651" s="126"/>
      <c r="K651" s="204"/>
      <c r="L651" s="205"/>
      <c r="M651" s="205"/>
      <c r="N651" s="205"/>
      <c r="O651" s="205"/>
      <c r="P651" s="205"/>
      <c r="Q651" s="205"/>
      <c r="R651" s="205"/>
      <c r="S651" s="205"/>
      <c r="T651" s="205"/>
      <c r="U651" s="205"/>
      <c r="V651" s="205"/>
      <c r="W651" s="205"/>
      <c r="X651" s="205"/>
      <c r="Y651" s="205"/>
      <c r="Z651" s="205"/>
      <c r="AA651" s="205"/>
      <c r="AB651" s="205"/>
      <c r="AC651" s="205"/>
      <c r="AD651" s="205"/>
      <c r="AE651" s="205"/>
      <c r="AF651" s="205"/>
      <c r="AG651" s="205"/>
      <c r="AH651" s="205"/>
      <c r="AI651" s="205"/>
      <c r="AJ651" s="747"/>
    </row>
    <row r="652" spans="1:36" ht="15" customHeight="1">
      <c r="A652" s="40"/>
      <c r="B652" s="40">
        <v>2</v>
      </c>
      <c r="C652" s="124"/>
      <c r="D652" s="124"/>
      <c r="E652" s="124"/>
      <c r="F652" s="41"/>
      <c r="G652" s="41" t="s">
        <v>144</v>
      </c>
      <c r="H652" s="66"/>
      <c r="I652" s="41"/>
      <c r="J652" s="126"/>
      <c r="K652" s="204"/>
      <c r="L652" s="205"/>
      <c r="M652" s="205"/>
      <c r="N652" s="205"/>
      <c r="O652" s="205"/>
      <c r="P652" s="205"/>
      <c r="Q652" s="205"/>
      <c r="R652" s="205"/>
      <c r="S652" s="205"/>
      <c r="T652" s="205"/>
      <c r="U652" s="205"/>
      <c r="V652" s="205"/>
      <c r="W652" s="205"/>
      <c r="X652" s="205"/>
      <c r="Y652" s="205"/>
      <c r="Z652" s="205"/>
      <c r="AA652" s="205"/>
      <c r="AB652" s="205"/>
      <c r="AC652" s="205"/>
      <c r="AD652" s="205"/>
      <c r="AE652" s="205"/>
      <c r="AF652" s="205"/>
      <c r="AG652" s="205"/>
      <c r="AH652" s="205"/>
      <c r="AI652" s="205"/>
      <c r="AJ652" s="747"/>
    </row>
    <row r="653" spans="1:36" ht="15" customHeight="1">
      <c r="A653" s="40"/>
      <c r="B653" s="40"/>
      <c r="C653" s="465">
        <v>1</v>
      </c>
      <c r="D653" s="465"/>
      <c r="E653" s="465"/>
      <c r="F653" s="125"/>
      <c r="G653" s="481"/>
      <c r="H653" s="66" t="s">
        <v>35</v>
      </c>
      <c r="I653" s="125"/>
      <c r="J653" s="126"/>
      <c r="K653" s="204"/>
      <c r="L653" s="205"/>
      <c r="M653" s="205"/>
      <c r="N653" s="205"/>
      <c r="O653" s="205"/>
      <c r="P653" s="205"/>
      <c r="Q653" s="205"/>
      <c r="R653" s="205"/>
      <c r="S653" s="205"/>
      <c r="T653" s="205"/>
      <c r="U653" s="205"/>
      <c r="V653" s="205"/>
      <c r="W653" s="205"/>
      <c r="X653" s="205"/>
      <c r="Y653" s="205"/>
      <c r="Z653" s="205"/>
      <c r="AA653" s="205"/>
      <c r="AB653" s="205"/>
      <c r="AC653" s="205"/>
      <c r="AD653" s="205"/>
      <c r="AE653" s="205"/>
      <c r="AF653" s="205"/>
      <c r="AG653" s="205"/>
      <c r="AH653" s="205"/>
      <c r="AI653" s="205"/>
      <c r="AJ653" s="747"/>
    </row>
    <row r="654" spans="1:36" ht="15" customHeight="1">
      <c r="A654" s="40"/>
      <c r="B654" s="40"/>
      <c r="C654" s="124"/>
      <c r="D654" s="124">
        <v>1</v>
      </c>
      <c r="E654" s="124" t="s">
        <v>199</v>
      </c>
      <c r="F654" s="451"/>
      <c r="G654" s="41"/>
      <c r="H654" s="66"/>
      <c r="I654" s="66" t="s">
        <v>180</v>
      </c>
      <c r="J654" s="452">
        <v>200000</v>
      </c>
      <c r="K654" s="453"/>
      <c r="L654" s="217">
        <f>SUM(J654:K654)</f>
        <v>200000</v>
      </c>
      <c r="M654" s="217"/>
      <c r="N654" s="217"/>
      <c r="O654" s="217"/>
      <c r="P654" s="217"/>
      <c r="Q654" s="217"/>
      <c r="R654" s="217"/>
      <c r="S654" s="217">
        <f t="shared" ref="S654:S657" si="704">SUM(M654:R654)</f>
        <v>0</v>
      </c>
      <c r="T654" s="217">
        <f t="shared" ref="T654:T657" si="705">S654+L654</f>
        <v>200000</v>
      </c>
      <c r="U654" s="217"/>
      <c r="V654" s="217"/>
      <c r="W654" s="217"/>
      <c r="X654" s="217"/>
      <c r="Y654" s="217"/>
      <c r="Z654" s="217">
        <f>SUM(U654:Y654)</f>
        <v>0</v>
      </c>
      <c r="AA654" s="217">
        <f>Z654+T654</f>
        <v>200000</v>
      </c>
      <c r="AB654" s="217"/>
      <c r="AC654" s="217"/>
      <c r="AD654" s="217"/>
      <c r="AE654" s="217">
        <v>-200000</v>
      </c>
      <c r="AF654" s="217"/>
      <c r="AG654" s="217">
        <f t="shared" ref="AG654:AG657" si="706">SUM(AB654:AF654)</f>
        <v>-200000</v>
      </c>
      <c r="AH654" s="217">
        <f t="shared" ref="AH654:AH657" si="707">AG654+AA654</f>
        <v>0</v>
      </c>
      <c r="AI654" s="217"/>
      <c r="AJ654" s="764"/>
    </row>
    <row r="655" spans="1:36" ht="15" customHeight="1">
      <c r="A655" s="40"/>
      <c r="B655" s="40"/>
      <c r="C655" s="124"/>
      <c r="D655" s="124">
        <v>2</v>
      </c>
      <c r="E655" s="124" t="s">
        <v>199</v>
      </c>
      <c r="F655" s="451"/>
      <c r="G655" s="41"/>
      <c r="H655" s="66"/>
      <c r="I655" s="66" t="s">
        <v>182</v>
      </c>
      <c r="J655" s="452">
        <v>35100</v>
      </c>
      <c r="K655" s="453"/>
      <c r="L655" s="217">
        <f>SUM(J655:K655)</f>
        <v>35100</v>
      </c>
      <c r="M655" s="217"/>
      <c r="N655" s="217"/>
      <c r="O655" s="217"/>
      <c r="P655" s="217"/>
      <c r="Q655" s="217"/>
      <c r="R655" s="217"/>
      <c r="S655" s="217">
        <f t="shared" si="704"/>
        <v>0</v>
      </c>
      <c r="T655" s="217">
        <f t="shared" si="705"/>
        <v>35100</v>
      </c>
      <c r="U655" s="217"/>
      <c r="V655" s="217"/>
      <c r="W655" s="217"/>
      <c r="X655" s="217"/>
      <c r="Y655" s="217"/>
      <c r="Z655" s="217">
        <f>SUM(U655:Y655)</f>
        <v>0</v>
      </c>
      <c r="AA655" s="217">
        <f>Z655+T655</f>
        <v>35100</v>
      </c>
      <c r="AB655" s="217"/>
      <c r="AC655" s="217"/>
      <c r="AD655" s="217"/>
      <c r="AE655" s="217"/>
      <c r="AF655" s="217"/>
      <c r="AG655" s="217">
        <f t="shared" si="706"/>
        <v>0</v>
      </c>
      <c r="AH655" s="217">
        <f t="shared" si="707"/>
        <v>35100</v>
      </c>
      <c r="AI655" s="217"/>
      <c r="AJ655" s="764"/>
    </row>
    <row r="656" spans="1:36" ht="15" customHeight="1">
      <c r="A656" s="40"/>
      <c r="B656" s="40"/>
      <c r="C656" s="124"/>
      <c r="D656" s="124">
        <v>3</v>
      </c>
      <c r="E656" s="124" t="s">
        <v>199</v>
      </c>
      <c r="F656" s="451"/>
      <c r="G656" s="41"/>
      <c r="H656" s="66"/>
      <c r="I656" s="66" t="s">
        <v>116</v>
      </c>
      <c r="J656" s="452">
        <v>883900</v>
      </c>
      <c r="K656" s="453"/>
      <c r="L656" s="217">
        <f>SUM(J656:K656)</f>
        <v>883900</v>
      </c>
      <c r="M656" s="217">
        <v>176403</v>
      </c>
      <c r="N656" s="217"/>
      <c r="O656" s="217"/>
      <c r="P656" s="217"/>
      <c r="Q656" s="217"/>
      <c r="R656" s="217"/>
      <c r="S656" s="217">
        <f t="shared" si="704"/>
        <v>176403</v>
      </c>
      <c r="T656" s="217">
        <f t="shared" si="705"/>
        <v>1060303</v>
      </c>
      <c r="U656" s="217"/>
      <c r="V656" s="217"/>
      <c r="W656" s="217"/>
      <c r="X656" s="217"/>
      <c r="Y656" s="217"/>
      <c r="Z656" s="217">
        <f>SUM(U656:Y656)</f>
        <v>0</v>
      </c>
      <c r="AA656" s="217">
        <f>Z656+T656</f>
        <v>1060303</v>
      </c>
      <c r="AB656" s="217"/>
      <c r="AC656" s="217"/>
      <c r="AD656" s="217"/>
      <c r="AE656" s="217"/>
      <c r="AF656" s="217"/>
      <c r="AG656" s="217">
        <f t="shared" si="706"/>
        <v>0</v>
      </c>
      <c r="AH656" s="217">
        <f t="shared" si="707"/>
        <v>1060303</v>
      </c>
      <c r="AI656" s="217">
        <v>705612</v>
      </c>
      <c r="AJ656" s="764">
        <f t="shared" ref="AJ656:AJ657" si="708">AI656/AH656*100</f>
        <v>66.548147086257416</v>
      </c>
    </row>
    <row r="657" spans="1:36" ht="15" customHeight="1">
      <c r="A657" s="40"/>
      <c r="B657" s="40"/>
      <c r="C657" s="124"/>
      <c r="D657" s="124">
        <v>5</v>
      </c>
      <c r="E657" s="124" t="s">
        <v>199</v>
      </c>
      <c r="F657" s="451"/>
      <c r="G657" s="41"/>
      <c r="H657" s="66"/>
      <c r="I657" s="66" t="s">
        <v>185</v>
      </c>
      <c r="J657" s="452">
        <v>200000</v>
      </c>
      <c r="K657" s="453"/>
      <c r="L657" s="217">
        <f>SUM(J657:K657)</f>
        <v>200000</v>
      </c>
      <c r="M657" s="217"/>
      <c r="N657" s="217"/>
      <c r="O657" s="217"/>
      <c r="P657" s="217"/>
      <c r="Q657" s="217">
        <v>100000</v>
      </c>
      <c r="R657" s="217"/>
      <c r="S657" s="217">
        <f t="shared" si="704"/>
        <v>100000</v>
      </c>
      <c r="T657" s="217">
        <f t="shared" si="705"/>
        <v>300000</v>
      </c>
      <c r="U657" s="217"/>
      <c r="V657" s="217"/>
      <c r="W657" s="217"/>
      <c r="X657" s="217"/>
      <c r="Y657" s="217"/>
      <c r="Z657" s="217">
        <f>SUM(U657:Y657)</f>
        <v>0</v>
      </c>
      <c r="AA657" s="217">
        <f>Z657+T657</f>
        <v>300000</v>
      </c>
      <c r="AB657" s="217"/>
      <c r="AC657" s="217"/>
      <c r="AD657" s="217"/>
      <c r="AE657" s="217"/>
      <c r="AF657" s="217"/>
      <c r="AG657" s="217">
        <f t="shared" si="706"/>
        <v>0</v>
      </c>
      <c r="AH657" s="217">
        <f t="shared" si="707"/>
        <v>300000</v>
      </c>
      <c r="AI657" s="217">
        <v>180000</v>
      </c>
      <c r="AJ657" s="764">
        <f t="shared" si="708"/>
        <v>60</v>
      </c>
    </row>
    <row r="658" spans="1:36" ht="15" customHeight="1">
      <c r="A658" s="40"/>
      <c r="B658" s="40"/>
      <c r="C658" s="124"/>
      <c r="D658" s="124"/>
      <c r="E658" s="124"/>
      <c r="F658" s="41"/>
      <c r="G658" s="41"/>
      <c r="H658" s="66"/>
      <c r="I658" s="41"/>
      <c r="J658" s="126"/>
      <c r="K658" s="204"/>
      <c r="L658" s="205"/>
      <c r="M658" s="205"/>
      <c r="N658" s="205"/>
      <c r="O658" s="205"/>
      <c r="P658" s="205"/>
      <c r="Q658" s="205"/>
      <c r="R658" s="205"/>
      <c r="S658" s="205"/>
      <c r="T658" s="205"/>
      <c r="U658" s="205"/>
      <c r="V658" s="205"/>
      <c r="W658" s="205"/>
      <c r="X658" s="205"/>
      <c r="Y658" s="205"/>
      <c r="Z658" s="205"/>
      <c r="AA658" s="205"/>
      <c r="AB658" s="205"/>
      <c r="AC658" s="205"/>
      <c r="AD658" s="205"/>
      <c r="AE658" s="205"/>
      <c r="AF658" s="205"/>
      <c r="AG658" s="205"/>
      <c r="AH658" s="205"/>
      <c r="AI658" s="205"/>
      <c r="AJ658" s="747"/>
    </row>
    <row r="659" spans="1:36" ht="15" customHeight="1">
      <c r="A659" s="40"/>
      <c r="B659" s="40"/>
      <c r="C659" s="124"/>
      <c r="D659" s="124"/>
      <c r="E659" s="124"/>
      <c r="F659" s="173"/>
      <c r="G659" s="64"/>
      <c r="H659" s="65"/>
      <c r="I659" s="64" t="s">
        <v>38</v>
      </c>
      <c r="J659" s="333">
        <f>SUM(J654:J658)</f>
        <v>1319000</v>
      </c>
      <c r="K659" s="457"/>
      <c r="L659" s="458">
        <f>SUM(L654:L658)</f>
        <v>1319000</v>
      </c>
      <c r="M659" s="458">
        <f t="shared" ref="M659:T659" si="709">SUM(M654:M658)</f>
        <v>176403</v>
      </c>
      <c r="N659" s="458">
        <f t="shared" si="709"/>
        <v>0</v>
      </c>
      <c r="O659" s="458">
        <f t="shared" si="709"/>
        <v>0</v>
      </c>
      <c r="P659" s="458">
        <f t="shared" si="709"/>
        <v>0</v>
      </c>
      <c r="Q659" s="458">
        <f t="shared" si="709"/>
        <v>100000</v>
      </c>
      <c r="R659" s="458">
        <f t="shared" si="709"/>
        <v>0</v>
      </c>
      <c r="S659" s="458">
        <f t="shared" si="709"/>
        <v>276403</v>
      </c>
      <c r="T659" s="458">
        <f t="shared" si="709"/>
        <v>1595403</v>
      </c>
      <c r="U659" s="458"/>
      <c r="V659" s="458"/>
      <c r="W659" s="458"/>
      <c r="X659" s="458"/>
      <c r="Y659" s="458"/>
      <c r="Z659" s="458">
        <f t="shared" ref="Z659:AA659" si="710">SUM(Z654:Z658)</f>
        <v>0</v>
      </c>
      <c r="AA659" s="458">
        <f t="shared" si="710"/>
        <v>1595403</v>
      </c>
      <c r="AB659" s="458"/>
      <c r="AC659" s="458"/>
      <c r="AD659" s="458"/>
      <c r="AE659" s="458">
        <f t="shared" ref="AE659:AI659" si="711">SUM(AE654:AE658)</f>
        <v>-200000</v>
      </c>
      <c r="AF659" s="458"/>
      <c r="AG659" s="458">
        <f t="shared" si="711"/>
        <v>-200000</v>
      </c>
      <c r="AH659" s="458">
        <f t="shared" si="711"/>
        <v>1395403</v>
      </c>
      <c r="AI659" s="458">
        <f t="shared" si="711"/>
        <v>885612</v>
      </c>
      <c r="AJ659" s="770">
        <f>AI659/AH659*100</f>
        <v>63.466396446044612</v>
      </c>
    </row>
    <row r="660" spans="1:36" ht="15.5" customHeight="1">
      <c r="A660" s="40"/>
      <c r="B660" s="40"/>
      <c r="C660" s="124"/>
      <c r="D660" s="124"/>
      <c r="E660" s="124"/>
      <c r="F660" s="41"/>
      <c r="G660" s="41"/>
      <c r="H660" s="66"/>
      <c r="I660" s="41"/>
      <c r="J660" s="126"/>
      <c r="K660" s="204"/>
      <c r="L660" s="205"/>
      <c r="M660" s="205"/>
      <c r="N660" s="205"/>
      <c r="O660" s="205"/>
      <c r="P660" s="205"/>
      <c r="Q660" s="205"/>
      <c r="R660" s="205"/>
      <c r="S660" s="205"/>
      <c r="T660" s="205"/>
      <c r="U660" s="205"/>
      <c r="V660" s="205"/>
      <c r="W660" s="205"/>
      <c r="X660" s="205"/>
      <c r="Y660" s="205"/>
      <c r="Z660" s="205"/>
      <c r="AA660" s="205"/>
      <c r="AB660" s="205"/>
      <c r="AC660" s="205"/>
      <c r="AD660" s="205"/>
      <c r="AE660" s="205"/>
      <c r="AF660" s="205"/>
      <c r="AG660" s="205"/>
      <c r="AH660" s="205"/>
      <c r="AI660" s="205"/>
      <c r="AJ660" s="747"/>
    </row>
    <row r="661" spans="1:36" ht="15.5" customHeight="1">
      <c r="A661" s="40"/>
      <c r="B661" s="40">
        <v>3</v>
      </c>
      <c r="C661" s="124"/>
      <c r="D661" s="124"/>
      <c r="E661" s="124"/>
      <c r="F661" s="41"/>
      <c r="G661" s="41" t="s">
        <v>92</v>
      </c>
      <c r="H661" s="66"/>
      <c r="I661" s="41"/>
      <c r="J661" s="126"/>
      <c r="K661" s="204"/>
      <c r="L661" s="205"/>
      <c r="M661" s="205"/>
      <c r="N661" s="205"/>
      <c r="O661" s="205"/>
      <c r="P661" s="205"/>
      <c r="Q661" s="205"/>
      <c r="R661" s="205"/>
      <c r="S661" s="205"/>
      <c r="T661" s="205"/>
      <c r="U661" s="205"/>
      <c r="V661" s="205"/>
      <c r="W661" s="205"/>
      <c r="X661" s="205"/>
      <c r="Y661" s="205"/>
      <c r="Z661" s="205"/>
      <c r="AA661" s="205"/>
      <c r="AB661" s="205"/>
      <c r="AC661" s="205"/>
      <c r="AD661" s="205"/>
      <c r="AE661" s="205"/>
      <c r="AF661" s="205"/>
      <c r="AG661" s="205"/>
      <c r="AH661" s="205"/>
      <c r="AI661" s="205"/>
      <c r="AJ661" s="747"/>
    </row>
    <row r="662" spans="1:36" ht="15.5" customHeight="1">
      <c r="A662" s="40"/>
      <c r="B662" s="40"/>
      <c r="C662" s="465">
        <v>1</v>
      </c>
      <c r="D662" s="465"/>
      <c r="E662" s="465"/>
      <c r="F662" s="125"/>
      <c r="G662" s="481"/>
      <c r="H662" s="66" t="s">
        <v>35</v>
      </c>
      <c r="I662" s="125"/>
      <c r="J662" s="126"/>
      <c r="K662" s="204"/>
      <c r="L662" s="205"/>
      <c r="M662" s="205"/>
      <c r="N662" s="205"/>
      <c r="O662" s="205"/>
      <c r="P662" s="205"/>
      <c r="Q662" s="205"/>
      <c r="R662" s="205"/>
      <c r="S662" s="205"/>
      <c r="T662" s="205"/>
      <c r="U662" s="205"/>
      <c r="V662" s="205"/>
      <c r="W662" s="205"/>
      <c r="X662" s="205"/>
      <c r="Y662" s="205"/>
      <c r="Z662" s="205"/>
      <c r="AA662" s="205"/>
      <c r="AB662" s="205"/>
      <c r="AC662" s="205"/>
      <c r="AD662" s="205"/>
      <c r="AE662" s="205"/>
      <c r="AF662" s="205"/>
      <c r="AG662" s="205"/>
      <c r="AH662" s="205"/>
      <c r="AI662" s="205"/>
      <c r="AJ662" s="747"/>
    </row>
    <row r="663" spans="1:36" ht="15.5" customHeight="1">
      <c r="A663" s="40"/>
      <c r="B663" s="40"/>
      <c r="C663" s="124"/>
      <c r="D663" s="124">
        <v>1</v>
      </c>
      <c r="E663" s="124" t="s">
        <v>198</v>
      </c>
      <c r="F663" s="451"/>
      <c r="G663" s="41"/>
      <c r="H663" s="66"/>
      <c r="I663" s="66" t="s">
        <v>180</v>
      </c>
      <c r="J663" s="452">
        <v>167364</v>
      </c>
      <c r="K663" s="453"/>
      <c r="L663" s="217">
        <f>SUM(J663:K663)</f>
        <v>167364</v>
      </c>
      <c r="M663" s="217"/>
      <c r="N663" s="217"/>
      <c r="O663" s="217"/>
      <c r="P663" s="217"/>
      <c r="Q663" s="217"/>
      <c r="R663" s="217"/>
      <c r="S663" s="217">
        <f t="shared" ref="S663:S664" si="712">SUM(M663:R663)</f>
        <v>0</v>
      </c>
      <c r="T663" s="217">
        <f t="shared" ref="T663:T664" si="713">S663+L663</f>
        <v>167364</v>
      </c>
      <c r="U663" s="217"/>
      <c r="V663" s="217"/>
      <c r="W663" s="217"/>
      <c r="X663" s="217"/>
      <c r="Y663" s="217"/>
      <c r="Z663" s="217">
        <f>SUM(U663:Y663)</f>
        <v>0</v>
      </c>
      <c r="AA663" s="217">
        <f>Z663+T663</f>
        <v>167364</v>
      </c>
      <c r="AB663" s="217"/>
      <c r="AC663" s="217"/>
      <c r="AD663" s="217"/>
      <c r="AE663" s="217">
        <v>-147364</v>
      </c>
      <c r="AF663" s="217"/>
      <c r="AG663" s="217">
        <f t="shared" ref="AG663:AG664" si="714">SUM(AB663:AF663)</f>
        <v>-147364</v>
      </c>
      <c r="AH663" s="217">
        <f t="shared" ref="AH663:AH664" si="715">AG663+AA663</f>
        <v>20000</v>
      </c>
      <c r="AI663" s="217">
        <v>20000</v>
      </c>
      <c r="AJ663" s="764">
        <f t="shared" ref="AJ663:AJ664" si="716">AI663/AH663*100</f>
        <v>100</v>
      </c>
    </row>
    <row r="664" spans="1:36" ht="15.5" customHeight="1">
      <c r="A664" s="40"/>
      <c r="B664" s="40"/>
      <c r="C664" s="124"/>
      <c r="D664" s="124">
        <v>2</v>
      </c>
      <c r="E664" s="124" t="s">
        <v>198</v>
      </c>
      <c r="F664" s="451"/>
      <c r="G664" s="41"/>
      <c r="H664" s="66"/>
      <c r="I664" s="66" t="s">
        <v>182</v>
      </c>
      <c r="J664" s="452">
        <v>32636</v>
      </c>
      <c r="K664" s="453"/>
      <c r="L664" s="217">
        <f>SUM(J664:K664)</f>
        <v>32636</v>
      </c>
      <c r="M664" s="217"/>
      <c r="N664" s="217"/>
      <c r="O664" s="217"/>
      <c r="P664" s="217"/>
      <c r="Q664" s="217"/>
      <c r="R664" s="217"/>
      <c r="S664" s="217">
        <f t="shared" si="712"/>
        <v>0</v>
      </c>
      <c r="T664" s="217">
        <f t="shared" si="713"/>
        <v>32636</v>
      </c>
      <c r="U664" s="217"/>
      <c r="V664" s="217"/>
      <c r="W664" s="217"/>
      <c r="X664" s="217"/>
      <c r="Y664" s="217"/>
      <c r="Z664" s="217">
        <f>SUM(U664:Y664)</f>
        <v>0</v>
      </c>
      <c r="AA664" s="217">
        <f>Z664+T664</f>
        <v>32636</v>
      </c>
      <c r="AB664" s="217"/>
      <c r="AC664" s="217"/>
      <c r="AD664" s="217"/>
      <c r="AE664" s="217"/>
      <c r="AF664" s="217"/>
      <c r="AG664" s="217">
        <f t="shared" si="714"/>
        <v>0</v>
      </c>
      <c r="AH664" s="217">
        <f t="shared" si="715"/>
        <v>32636</v>
      </c>
      <c r="AI664" s="217">
        <v>3900</v>
      </c>
      <c r="AJ664" s="764">
        <f t="shared" si="716"/>
        <v>11.949993871798014</v>
      </c>
    </row>
    <row r="665" spans="1:36" ht="15.5" customHeight="1">
      <c r="A665" s="40"/>
      <c r="B665" s="40"/>
      <c r="C665" s="124"/>
      <c r="D665" s="124"/>
      <c r="E665" s="124"/>
      <c r="F665" s="41"/>
      <c r="G665" s="41"/>
      <c r="H665" s="66"/>
      <c r="I665" s="41"/>
      <c r="J665" s="126"/>
      <c r="K665" s="204"/>
      <c r="L665" s="205"/>
      <c r="M665" s="205"/>
      <c r="N665" s="205"/>
      <c r="O665" s="205"/>
      <c r="P665" s="205"/>
      <c r="Q665" s="205"/>
      <c r="R665" s="205"/>
      <c r="S665" s="205"/>
      <c r="T665" s="205"/>
      <c r="U665" s="205"/>
      <c r="V665" s="205"/>
      <c r="W665" s="205"/>
      <c r="X665" s="205"/>
      <c r="Y665" s="205"/>
      <c r="Z665" s="205"/>
      <c r="AA665" s="205"/>
      <c r="AB665" s="205"/>
      <c r="AC665" s="205"/>
      <c r="AD665" s="205"/>
      <c r="AE665" s="205"/>
      <c r="AF665" s="205"/>
      <c r="AG665" s="205"/>
      <c r="AH665" s="205"/>
      <c r="AI665" s="205"/>
      <c r="AJ665" s="747"/>
    </row>
    <row r="666" spans="1:36" ht="15.5" customHeight="1">
      <c r="A666" s="40"/>
      <c r="B666" s="40"/>
      <c r="C666" s="124"/>
      <c r="D666" s="124"/>
      <c r="E666" s="124"/>
      <c r="F666" s="173"/>
      <c r="G666" s="64"/>
      <c r="H666" s="65"/>
      <c r="I666" s="64" t="s">
        <v>38</v>
      </c>
      <c r="J666" s="333">
        <f>SUM(J660:J665)</f>
        <v>200000</v>
      </c>
      <c r="K666" s="457"/>
      <c r="L666" s="458">
        <f>SUM(L660:L665)</f>
        <v>200000</v>
      </c>
      <c r="M666" s="458">
        <f t="shared" ref="M666:T666" si="717">SUM(M660:M665)</f>
        <v>0</v>
      </c>
      <c r="N666" s="458">
        <f t="shared" si="717"/>
        <v>0</v>
      </c>
      <c r="O666" s="458">
        <f t="shared" si="717"/>
        <v>0</v>
      </c>
      <c r="P666" s="458">
        <f t="shared" si="717"/>
        <v>0</v>
      </c>
      <c r="Q666" s="458">
        <f t="shared" si="717"/>
        <v>0</v>
      </c>
      <c r="R666" s="458">
        <f t="shared" si="717"/>
        <v>0</v>
      </c>
      <c r="S666" s="458">
        <f t="shared" si="717"/>
        <v>0</v>
      </c>
      <c r="T666" s="458">
        <f t="shared" si="717"/>
        <v>200000</v>
      </c>
      <c r="U666" s="458"/>
      <c r="V666" s="458"/>
      <c r="W666" s="458"/>
      <c r="X666" s="458"/>
      <c r="Y666" s="458"/>
      <c r="Z666" s="458">
        <f t="shared" ref="Z666:AA666" si="718">SUM(Z660:Z665)</f>
        <v>0</v>
      </c>
      <c r="AA666" s="458">
        <f t="shared" si="718"/>
        <v>200000</v>
      </c>
      <c r="AB666" s="458"/>
      <c r="AC666" s="458"/>
      <c r="AD666" s="458"/>
      <c r="AE666" s="458">
        <f t="shared" ref="AE666:AI666" si="719">SUM(AE660:AE665)</f>
        <v>-147364</v>
      </c>
      <c r="AF666" s="458"/>
      <c r="AG666" s="458">
        <f t="shared" si="719"/>
        <v>-147364</v>
      </c>
      <c r="AH666" s="458">
        <f t="shared" si="719"/>
        <v>52636</v>
      </c>
      <c r="AI666" s="458">
        <f t="shared" si="719"/>
        <v>23900</v>
      </c>
      <c r="AJ666" s="770">
        <f>AI666/AH666*100</f>
        <v>45.406185880386047</v>
      </c>
    </row>
    <row r="667" spans="1:36" ht="16.5" customHeight="1">
      <c r="A667" s="40"/>
      <c r="B667" s="40"/>
      <c r="C667" s="124"/>
      <c r="D667" s="124"/>
      <c r="E667" s="124"/>
      <c r="F667" s="41"/>
      <c r="G667" s="41"/>
      <c r="H667" s="66"/>
      <c r="I667" s="41"/>
      <c r="J667" s="126"/>
      <c r="K667" s="204"/>
      <c r="L667" s="205"/>
      <c r="M667" s="205"/>
      <c r="N667" s="205"/>
      <c r="O667" s="205"/>
      <c r="P667" s="205"/>
      <c r="Q667" s="205"/>
      <c r="R667" s="205"/>
      <c r="S667" s="205"/>
      <c r="T667" s="205"/>
      <c r="U667" s="205"/>
      <c r="V667" s="205"/>
      <c r="W667" s="205"/>
      <c r="X667" s="205"/>
      <c r="Y667" s="205"/>
      <c r="Z667" s="205"/>
      <c r="AA667" s="205"/>
      <c r="AB667" s="205"/>
      <c r="AC667" s="205"/>
      <c r="AD667" s="205"/>
      <c r="AE667" s="205"/>
      <c r="AF667" s="205"/>
      <c r="AG667" s="205"/>
      <c r="AH667" s="205"/>
      <c r="AI667" s="205"/>
      <c r="AJ667" s="747"/>
    </row>
    <row r="668" spans="1:36" ht="16.5" customHeight="1">
      <c r="A668" s="40"/>
      <c r="B668" s="40">
        <v>4</v>
      </c>
      <c r="C668" s="124"/>
      <c r="D668" s="124"/>
      <c r="E668" s="124"/>
      <c r="F668" s="41"/>
      <c r="G668" s="41" t="s">
        <v>338</v>
      </c>
      <c r="H668" s="66"/>
      <c r="I668" s="41"/>
      <c r="J668" s="126"/>
      <c r="K668" s="204"/>
      <c r="L668" s="205"/>
      <c r="M668" s="205"/>
      <c r="N668" s="205"/>
      <c r="O668" s="205"/>
      <c r="P668" s="205"/>
      <c r="Q668" s="205"/>
      <c r="R668" s="205"/>
      <c r="S668" s="205"/>
      <c r="T668" s="205"/>
      <c r="U668" s="205"/>
      <c r="V668" s="205"/>
      <c r="W668" s="205"/>
      <c r="X668" s="205"/>
      <c r="Y668" s="205"/>
      <c r="Z668" s="205"/>
      <c r="AA668" s="205"/>
      <c r="AB668" s="205"/>
      <c r="AC668" s="205"/>
      <c r="AD668" s="205"/>
      <c r="AE668" s="205"/>
      <c r="AF668" s="205"/>
      <c r="AG668" s="205"/>
      <c r="AH668" s="205"/>
      <c r="AI668" s="205"/>
      <c r="AJ668" s="747"/>
    </row>
    <row r="669" spans="1:36" ht="16.5" customHeight="1">
      <c r="A669" s="40"/>
      <c r="B669" s="40"/>
      <c r="C669" s="465">
        <v>1</v>
      </c>
      <c r="D669" s="465"/>
      <c r="E669" s="465"/>
      <c r="F669" s="125"/>
      <c r="G669" s="481"/>
      <c r="H669" s="66" t="s">
        <v>35</v>
      </c>
      <c r="I669" s="125"/>
      <c r="J669" s="126"/>
      <c r="K669" s="204"/>
      <c r="L669" s="205"/>
      <c r="M669" s="205"/>
      <c r="N669" s="205"/>
      <c r="O669" s="205"/>
      <c r="P669" s="205"/>
      <c r="Q669" s="205"/>
      <c r="R669" s="205"/>
      <c r="S669" s="205"/>
      <c r="T669" s="205"/>
      <c r="U669" s="205"/>
      <c r="V669" s="205"/>
      <c r="W669" s="205"/>
      <c r="X669" s="205"/>
      <c r="Y669" s="205"/>
      <c r="Z669" s="205"/>
      <c r="AA669" s="205"/>
      <c r="AB669" s="205"/>
      <c r="AC669" s="205"/>
      <c r="AD669" s="205"/>
      <c r="AE669" s="205"/>
      <c r="AF669" s="205"/>
      <c r="AG669" s="205"/>
      <c r="AH669" s="205"/>
      <c r="AI669" s="205"/>
      <c r="AJ669" s="747"/>
    </row>
    <row r="670" spans="1:36" ht="16.5" customHeight="1">
      <c r="A670" s="160"/>
      <c r="B670" s="160"/>
      <c r="C670" s="505"/>
      <c r="D670" s="124">
        <v>1</v>
      </c>
      <c r="E670" s="124" t="s">
        <v>198</v>
      </c>
      <c r="F670" s="451"/>
      <c r="G670" s="41"/>
      <c r="H670" s="66"/>
      <c r="I670" s="66" t="s">
        <v>180</v>
      </c>
      <c r="J670" s="205"/>
      <c r="K670" s="467"/>
      <c r="L670" s="205"/>
      <c r="M670" s="205"/>
      <c r="N670" s="205"/>
      <c r="O670" s="205"/>
      <c r="P670" s="205"/>
      <c r="Q670" s="205"/>
      <c r="R670" s="205"/>
      <c r="S670" s="205"/>
      <c r="T670" s="205"/>
      <c r="U670" s="205"/>
      <c r="V670" s="205"/>
      <c r="W670" s="205"/>
      <c r="X670" s="205"/>
      <c r="Y670" s="205"/>
      <c r="Z670" s="205"/>
      <c r="AA670" s="205"/>
      <c r="AB670" s="205"/>
      <c r="AC670" s="205"/>
      <c r="AD670" s="205"/>
      <c r="AE670" s="220">
        <v>14677</v>
      </c>
      <c r="AF670" s="205"/>
      <c r="AG670" s="217">
        <f t="shared" ref="AG670" si="720">SUM(AB670:AF670)</f>
        <v>14677</v>
      </c>
      <c r="AH670" s="217">
        <f t="shared" ref="AH670" si="721">AG670+AA670</f>
        <v>14677</v>
      </c>
      <c r="AI670" s="220">
        <v>14677</v>
      </c>
      <c r="AJ670" s="764">
        <f t="shared" ref="AJ670:AJ672" si="722">AI670/AH670*100</f>
        <v>100</v>
      </c>
    </row>
    <row r="671" spans="1:36" ht="16.5" customHeight="1">
      <c r="A671" s="40"/>
      <c r="B671" s="40"/>
      <c r="C671" s="465"/>
      <c r="D671" s="124">
        <v>2</v>
      </c>
      <c r="E671" s="124" t="s">
        <v>198</v>
      </c>
      <c r="F671" s="451"/>
      <c r="G671" s="41"/>
      <c r="H671" s="66"/>
      <c r="I671" s="66" t="s">
        <v>182</v>
      </c>
      <c r="J671" s="126"/>
      <c r="K671" s="204"/>
      <c r="L671" s="205"/>
      <c r="M671" s="220">
        <v>40582</v>
      </c>
      <c r="N671" s="220"/>
      <c r="O671" s="220"/>
      <c r="P671" s="220"/>
      <c r="Q671" s="220">
        <v>806546</v>
      </c>
      <c r="R671" s="220"/>
      <c r="S671" s="217">
        <f t="shared" ref="S671:S672" si="723">SUM(M671:R671)</f>
        <v>847128</v>
      </c>
      <c r="T671" s="217">
        <f t="shared" ref="T671:T672" si="724">S671+L671</f>
        <v>847128</v>
      </c>
      <c r="U671" s="220"/>
      <c r="V671" s="220"/>
      <c r="W671" s="220"/>
      <c r="X671" s="220"/>
      <c r="Y671" s="220"/>
      <c r="Z671" s="217">
        <f>SUM(U671:Y671)</f>
        <v>0</v>
      </c>
      <c r="AA671" s="217">
        <f>Z671+T671</f>
        <v>847128</v>
      </c>
      <c r="AB671" s="220"/>
      <c r="AC671" s="220"/>
      <c r="AD671" s="220"/>
      <c r="AE671" s="220">
        <v>7588</v>
      </c>
      <c r="AF671" s="220"/>
      <c r="AG671" s="217">
        <f t="shared" ref="AG671:AG672" si="725">SUM(AB671:AF671)</f>
        <v>7588</v>
      </c>
      <c r="AH671" s="217">
        <f t="shared" ref="AH671:AH672" si="726">AG671+AA671</f>
        <v>854716</v>
      </c>
      <c r="AI671" s="217">
        <v>847128</v>
      </c>
      <c r="AJ671" s="764">
        <f t="shared" si="722"/>
        <v>99.112219731466354</v>
      </c>
    </row>
    <row r="672" spans="1:36" ht="16.5" customHeight="1">
      <c r="A672" s="40"/>
      <c r="B672" s="40"/>
      <c r="C672" s="124"/>
      <c r="D672" s="124">
        <v>3</v>
      </c>
      <c r="E672" s="124" t="s">
        <v>198</v>
      </c>
      <c r="F672" s="451"/>
      <c r="G672" s="41"/>
      <c r="H672" s="66"/>
      <c r="I672" s="66" t="s">
        <v>116</v>
      </c>
      <c r="J672" s="452">
        <v>11620000</v>
      </c>
      <c r="K672" s="453"/>
      <c r="L672" s="217">
        <f>SUM(J672:K672)</f>
        <v>11620000</v>
      </c>
      <c r="M672" s="484">
        <v>7620000</v>
      </c>
      <c r="N672" s="484"/>
      <c r="O672" s="484"/>
      <c r="P672" s="484"/>
      <c r="Q672" s="484">
        <v>-637972</v>
      </c>
      <c r="R672" s="484"/>
      <c r="S672" s="217">
        <f t="shared" si="723"/>
        <v>6982028</v>
      </c>
      <c r="T672" s="217">
        <f t="shared" si="724"/>
        <v>18602028</v>
      </c>
      <c r="U672" s="484"/>
      <c r="V672" s="484"/>
      <c r="W672" s="484"/>
      <c r="X672" s="484"/>
      <c r="Y672" s="484"/>
      <c r="Z672" s="217">
        <f>SUM(U672:Y672)</f>
        <v>0</v>
      </c>
      <c r="AA672" s="217">
        <f>Z672+T672</f>
        <v>18602028</v>
      </c>
      <c r="AB672" s="484"/>
      <c r="AC672" s="484">
        <v>2222500</v>
      </c>
      <c r="AD672" s="484"/>
      <c r="AE672" s="484">
        <v>3963</v>
      </c>
      <c r="AF672" s="484"/>
      <c r="AG672" s="217">
        <f t="shared" si="725"/>
        <v>2226463</v>
      </c>
      <c r="AH672" s="217">
        <f t="shared" si="726"/>
        <v>20828491</v>
      </c>
      <c r="AI672" s="217">
        <v>15113491</v>
      </c>
      <c r="AJ672" s="764">
        <f t="shared" si="722"/>
        <v>72.561622443027673</v>
      </c>
    </row>
    <row r="673" spans="1:36" ht="14">
      <c r="A673" s="40"/>
      <c r="B673" s="40"/>
      <c r="C673" s="124"/>
      <c r="D673" s="124"/>
      <c r="E673" s="124"/>
      <c r="F673" s="41"/>
      <c r="G673" s="41"/>
      <c r="H673" s="66"/>
      <c r="I673" s="41"/>
      <c r="J673" s="126"/>
      <c r="K673" s="204"/>
      <c r="L673" s="205"/>
      <c r="M673" s="205"/>
      <c r="N673" s="205"/>
      <c r="O673" s="205"/>
      <c r="P673" s="205"/>
      <c r="Q673" s="205"/>
      <c r="R673" s="205"/>
      <c r="S673" s="205"/>
      <c r="T673" s="205"/>
      <c r="U673" s="205"/>
      <c r="V673" s="205"/>
      <c r="W673" s="205"/>
      <c r="X673" s="205"/>
      <c r="Y673" s="205"/>
      <c r="Z673" s="205"/>
      <c r="AA673" s="205"/>
      <c r="AB673" s="205"/>
      <c r="AC673" s="205"/>
      <c r="AD673" s="205"/>
      <c r="AE673" s="205"/>
      <c r="AF673" s="205"/>
      <c r="AG673" s="205"/>
      <c r="AH673" s="205"/>
      <c r="AI673" s="205"/>
      <c r="AJ673" s="747"/>
    </row>
    <row r="674" spans="1:36" ht="16.5" customHeight="1">
      <c r="A674" s="40"/>
      <c r="B674" s="40"/>
      <c r="C674" s="124"/>
      <c r="D674" s="124"/>
      <c r="E674" s="124"/>
      <c r="F674" s="173"/>
      <c r="G674" s="64"/>
      <c r="H674" s="65"/>
      <c r="I674" s="64" t="s">
        <v>38</v>
      </c>
      <c r="J674" s="333">
        <f>SUM(J667:J673)</f>
        <v>11620000</v>
      </c>
      <c r="K674" s="457"/>
      <c r="L674" s="458">
        <f t="shared" ref="L674:T674" si="727">SUM(L667:L673)</f>
        <v>11620000</v>
      </c>
      <c r="M674" s="458">
        <f t="shared" si="727"/>
        <v>7660582</v>
      </c>
      <c r="N674" s="458">
        <f t="shared" si="727"/>
        <v>0</v>
      </c>
      <c r="O674" s="458">
        <f t="shared" si="727"/>
        <v>0</v>
      </c>
      <c r="P674" s="458">
        <f t="shared" si="727"/>
        <v>0</v>
      </c>
      <c r="Q674" s="458">
        <f t="shared" si="727"/>
        <v>168574</v>
      </c>
      <c r="R674" s="458">
        <f t="shared" si="727"/>
        <v>0</v>
      </c>
      <c r="S674" s="458">
        <f t="shared" si="727"/>
        <v>7829156</v>
      </c>
      <c r="T674" s="458">
        <f t="shared" si="727"/>
        <v>19449156</v>
      </c>
      <c r="U674" s="458"/>
      <c r="V674" s="458"/>
      <c r="W674" s="458"/>
      <c r="X674" s="458"/>
      <c r="Y674" s="458"/>
      <c r="Z674" s="458">
        <f>SUM(Z667:Z673)</f>
        <v>0</v>
      </c>
      <c r="AA674" s="458">
        <f>SUM(AA667:AA673)</f>
        <v>19449156</v>
      </c>
      <c r="AB674" s="458"/>
      <c r="AC674" s="458">
        <f t="shared" ref="AC674:AF674" si="728">SUM(AC667:AC673)</f>
        <v>2222500</v>
      </c>
      <c r="AD674" s="458"/>
      <c r="AE674" s="458">
        <f t="shared" si="728"/>
        <v>26228</v>
      </c>
      <c r="AF674" s="458">
        <f t="shared" si="728"/>
        <v>0</v>
      </c>
      <c r="AG674" s="458">
        <f>SUM(AG667:AG673)</f>
        <v>2248728</v>
      </c>
      <c r="AH674" s="458">
        <f>SUM(AH667:AH673)</f>
        <v>21697884</v>
      </c>
      <c r="AI674" s="458">
        <f>SUM(AI667:AI673)</f>
        <v>15975296</v>
      </c>
      <c r="AJ674" s="770">
        <f>AI674/AH674*100</f>
        <v>73.626054964622355</v>
      </c>
    </row>
    <row r="675" spans="1:36" ht="14">
      <c r="A675" s="677"/>
      <c r="B675" s="677"/>
      <c r="C675" s="465"/>
      <c r="D675" s="465"/>
      <c r="E675" s="465"/>
      <c r="F675" s="125"/>
      <c r="G675" s="481"/>
      <c r="H675" s="125"/>
      <c r="I675" s="125"/>
      <c r="J675" s="452"/>
      <c r="K675" s="453"/>
      <c r="L675" s="454"/>
      <c r="M675" s="454"/>
      <c r="N675" s="454"/>
      <c r="O675" s="454"/>
      <c r="P675" s="454"/>
      <c r="Q675" s="454"/>
      <c r="R675" s="454"/>
      <c r="S675" s="454"/>
      <c r="T675" s="454"/>
      <c r="U675" s="454"/>
      <c r="V675" s="454"/>
      <c r="W675" s="454"/>
      <c r="X675" s="454"/>
      <c r="Y675" s="454"/>
      <c r="Z675" s="454"/>
      <c r="AA675" s="454"/>
      <c r="AB675" s="454"/>
      <c r="AC675" s="454"/>
      <c r="AD675" s="454"/>
      <c r="AE675" s="454"/>
      <c r="AF675" s="454"/>
      <c r="AG675" s="454"/>
      <c r="AH675" s="454"/>
      <c r="AI675" s="454"/>
      <c r="AJ675" s="769"/>
    </row>
    <row r="676" spans="1:36" ht="14">
      <c r="A676" s="677"/>
      <c r="B676" s="677"/>
      <c r="C676" s="465"/>
      <c r="D676" s="465"/>
      <c r="E676" s="465"/>
      <c r="F676" s="464"/>
      <c r="G676" s="166"/>
      <c r="H676" s="464"/>
      <c r="I676" s="166" t="s">
        <v>37</v>
      </c>
      <c r="J676" s="460">
        <f>SUM(J643:J674)/2</f>
        <v>17240000</v>
      </c>
      <c r="K676" s="461"/>
      <c r="L676" s="460">
        <f t="shared" ref="L676:T676" si="729">SUM(L643:L674)/2</f>
        <v>17240000</v>
      </c>
      <c r="M676" s="460">
        <f t="shared" si="729"/>
        <v>10831592</v>
      </c>
      <c r="N676" s="460">
        <f t="shared" si="729"/>
        <v>0</v>
      </c>
      <c r="O676" s="460">
        <f t="shared" si="729"/>
        <v>0</v>
      </c>
      <c r="P676" s="460">
        <f t="shared" si="729"/>
        <v>0</v>
      </c>
      <c r="Q676" s="460">
        <f t="shared" si="729"/>
        <v>268574</v>
      </c>
      <c r="R676" s="460">
        <f t="shared" si="729"/>
        <v>0</v>
      </c>
      <c r="S676" s="460">
        <f t="shared" si="729"/>
        <v>11100166</v>
      </c>
      <c r="T676" s="460">
        <f t="shared" si="729"/>
        <v>28340166</v>
      </c>
      <c r="U676" s="460"/>
      <c r="V676" s="460"/>
      <c r="W676" s="460"/>
      <c r="X676" s="460"/>
      <c r="Y676" s="460"/>
      <c r="Z676" s="460">
        <f>SUM(Z643:Z674)/2</f>
        <v>0</v>
      </c>
      <c r="AA676" s="460">
        <f>SUM(AA643:AA674)/2</f>
        <v>28340166</v>
      </c>
      <c r="AB676" s="460"/>
      <c r="AC676" s="460">
        <f t="shared" ref="AC676" si="730">SUM(AC643:AC674)/2</f>
        <v>2222500</v>
      </c>
      <c r="AD676" s="460"/>
      <c r="AE676" s="460">
        <f t="shared" ref="AE676:AF676" si="731">SUM(AE643:AE674)/2</f>
        <v>-321136</v>
      </c>
      <c r="AF676" s="460">
        <f t="shared" si="731"/>
        <v>0</v>
      </c>
      <c r="AG676" s="460">
        <f>SUM(AG643:AG674)/2</f>
        <v>1901364</v>
      </c>
      <c r="AH676" s="460">
        <f>SUM(AH643:AH674)/2</f>
        <v>30241530</v>
      </c>
      <c r="AI676" s="460">
        <f>SUM(AI643:AI674)/2</f>
        <v>19996705</v>
      </c>
      <c r="AJ676" s="771">
        <f>AI676/AH676*100</f>
        <v>66.123324448200876</v>
      </c>
    </row>
    <row r="677" spans="1:36" ht="14">
      <c r="A677" s="677"/>
      <c r="B677" s="677"/>
      <c r="C677" s="465"/>
      <c r="D677" s="465"/>
      <c r="E677" s="465"/>
      <c r="F677" s="66"/>
      <c r="G677" s="41"/>
      <c r="H677" s="66"/>
      <c r="I677" s="66"/>
      <c r="J677" s="128"/>
      <c r="K677" s="208"/>
      <c r="L677" s="217"/>
      <c r="M677" s="217"/>
      <c r="N677" s="217"/>
      <c r="O677" s="217"/>
      <c r="P677" s="217"/>
      <c r="Q677" s="217"/>
      <c r="R677" s="217"/>
      <c r="S677" s="217"/>
      <c r="T677" s="217"/>
      <c r="U677" s="217"/>
      <c r="V677" s="217"/>
      <c r="W677" s="217"/>
      <c r="X677" s="217"/>
      <c r="Y677" s="217"/>
      <c r="Z677" s="217"/>
      <c r="AA677" s="217"/>
      <c r="AB677" s="217"/>
      <c r="AC677" s="217"/>
      <c r="AD677" s="217"/>
      <c r="AE677" s="217"/>
      <c r="AF677" s="217"/>
      <c r="AG677" s="217"/>
      <c r="AH677" s="217"/>
      <c r="AI677" s="217"/>
      <c r="AJ677" s="764"/>
    </row>
    <row r="678" spans="1:36" ht="14">
      <c r="A678" s="677">
        <v>19</v>
      </c>
      <c r="B678" s="677"/>
      <c r="C678" s="465"/>
      <c r="D678" s="465"/>
      <c r="E678" s="465"/>
      <c r="F678" s="485" t="s">
        <v>126</v>
      </c>
      <c r="G678" s="486"/>
      <c r="H678" s="486"/>
      <c r="I678" s="487"/>
      <c r="J678" s="452"/>
      <c r="K678" s="453"/>
      <c r="L678" s="454"/>
      <c r="M678" s="454"/>
      <c r="N678" s="454"/>
      <c r="O678" s="454"/>
      <c r="P678" s="454"/>
      <c r="Q678" s="454"/>
      <c r="R678" s="454"/>
      <c r="S678" s="454"/>
      <c r="T678" s="454"/>
      <c r="U678" s="454"/>
      <c r="V678" s="454"/>
      <c r="W678" s="454"/>
      <c r="X678" s="454"/>
      <c r="Y678" s="454"/>
      <c r="Z678" s="454"/>
      <c r="AA678" s="454"/>
      <c r="AB678" s="454"/>
      <c r="AC678" s="454"/>
      <c r="AD678" s="454"/>
      <c r="AE678" s="454"/>
      <c r="AF678" s="454"/>
      <c r="AG678" s="454"/>
      <c r="AH678" s="454"/>
      <c r="AI678" s="454"/>
      <c r="AJ678" s="769"/>
    </row>
    <row r="679" spans="1:36" ht="14">
      <c r="A679" s="677"/>
      <c r="B679" s="677"/>
      <c r="C679" s="465">
        <v>1</v>
      </c>
      <c r="D679" s="465"/>
      <c r="E679" s="465"/>
      <c r="F679" s="125"/>
      <c r="G679" s="481"/>
      <c r="H679" s="66" t="s">
        <v>35</v>
      </c>
      <c r="I679" s="125"/>
      <c r="J679" s="452"/>
      <c r="K679" s="453"/>
      <c r="L679" s="454"/>
      <c r="M679" s="454"/>
      <c r="N679" s="454"/>
      <c r="O679" s="454"/>
      <c r="P679" s="454"/>
      <c r="Q679" s="454"/>
      <c r="R679" s="454"/>
      <c r="S679" s="454"/>
      <c r="T679" s="454"/>
      <c r="U679" s="454"/>
      <c r="V679" s="454"/>
      <c r="W679" s="454"/>
      <c r="X679" s="454"/>
      <c r="Y679" s="454"/>
      <c r="Z679" s="454"/>
      <c r="AA679" s="454"/>
      <c r="AB679" s="454"/>
      <c r="AC679" s="454"/>
      <c r="AD679" s="454"/>
      <c r="AE679" s="454"/>
      <c r="AF679" s="454"/>
      <c r="AG679" s="454"/>
      <c r="AH679" s="454"/>
      <c r="AI679" s="454"/>
      <c r="AJ679" s="769"/>
    </row>
    <row r="680" spans="1:36" ht="14">
      <c r="A680" s="677"/>
      <c r="B680" s="677"/>
      <c r="C680" s="465"/>
      <c r="D680" s="465">
        <v>5</v>
      </c>
      <c r="E680" s="465" t="s">
        <v>198</v>
      </c>
      <c r="F680" s="125"/>
      <c r="G680" s="481"/>
      <c r="H680" s="125"/>
      <c r="I680" s="66" t="s">
        <v>185</v>
      </c>
      <c r="J680" s="452">
        <v>500000</v>
      </c>
      <c r="K680" s="453"/>
      <c r="L680" s="217">
        <f>SUM(J680:K680)</f>
        <v>500000</v>
      </c>
      <c r="M680" s="217"/>
      <c r="N680" s="217"/>
      <c r="O680" s="217"/>
      <c r="P680" s="217"/>
      <c r="Q680" s="217"/>
      <c r="R680" s="217"/>
      <c r="S680" s="217">
        <f t="shared" ref="S680" si="732">SUM(M680:R680)</f>
        <v>0</v>
      </c>
      <c r="T680" s="217">
        <f t="shared" ref="T680" si="733">S680+L680</f>
        <v>500000</v>
      </c>
      <c r="U680" s="217"/>
      <c r="V680" s="217"/>
      <c r="W680" s="217"/>
      <c r="X680" s="217"/>
      <c r="Y680" s="217"/>
      <c r="Z680" s="217">
        <f>SUM(U680:Y680)</f>
        <v>0</v>
      </c>
      <c r="AA680" s="217">
        <f>Z680+T680</f>
        <v>500000</v>
      </c>
      <c r="AB680" s="217"/>
      <c r="AC680" s="217"/>
      <c r="AD680" s="217"/>
      <c r="AE680" s="217"/>
      <c r="AF680" s="217"/>
      <c r="AG680" s="217">
        <f t="shared" ref="AG680" si="734">SUM(AB680:AF680)</f>
        <v>0</v>
      </c>
      <c r="AH680" s="217">
        <f t="shared" ref="AH680" si="735">AG680+AA680</f>
        <v>500000</v>
      </c>
      <c r="AI680" s="217"/>
      <c r="AJ680" s="764"/>
    </row>
    <row r="681" spans="1:36" ht="7" customHeight="1">
      <c r="A681" s="677"/>
      <c r="B681" s="677"/>
      <c r="C681" s="465"/>
      <c r="D681" s="465"/>
      <c r="E681" s="465"/>
      <c r="F681" s="125"/>
      <c r="G681" s="481"/>
      <c r="H681" s="125"/>
      <c r="I681" s="66"/>
      <c r="J681" s="452"/>
      <c r="K681" s="453"/>
      <c r="L681" s="217"/>
      <c r="M681" s="217"/>
      <c r="N681" s="217"/>
      <c r="O681" s="217"/>
      <c r="P681" s="217"/>
      <c r="Q681" s="217"/>
      <c r="R681" s="217"/>
      <c r="S681" s="217"/>
      <c r="T681" s="217"/>
      <c r="U681" s="217"/>
      <c r="V681" s="217"/>
      <c r="W681" s="217"/>
      <c r="X681" s="217"/>
      <c r="Y681" s="217"/>
      <c r="Z681" s="217"/>
      <c r="AA681" s="217"/>
      <c r="AB681" s="217"/>
      <c r="AC681" s="217"/>
      <c r="AD681" s="217"/>
      <c r="AE681" s="217"/>
      <c r="AF681" s="217"/>
      <c r="AG681" s="217"/>
      <c r="AH681" s="217"/>
      <c r="AI681" s="217"/>
      <c r="AJ681" s="764"/>
    </row>
    <row r="682" spans="1:36" ht="14">
      <c r="A682" s="677"/>
      <c r="B682" s="677"/>
      <c r="C682" s="465"/>
      <c r="D682" s="465"/>
      <c r="E682" s="465"/>
      <c r="F682" s="464"/>
      <c r="G682" s="166"/>
      <c r="H682" s="464"/>
      <c r="I682" s="166" t="s">
        <v>37</v>
      </c>
      <c r="J682" s="460">
        <f>SUM(J680:J681)</f>
        <v>500000</v>
      </c>
      <c r="K682" s="461"/>
      <c r="L682" s="460">
        <f>SUM(L680:L681)</f>
        <v>500000</v>
      </c>
      <c r="M682" s="460">
        <f t="shared" ref="M682:T682" si="736">SUM(M680:M681)</f>
        <v>0</v>
      </c>
      <c r="N682" s="460">
        <f t="shared" si="736"/>
        <v>0</v>
      </c>
      <c r="O682" s="460">
        <f t="shared" si="736"/>
        <v>0</v>
      </c>
      <c r="P682" s="460">
        <f t="shared" si="736"/>
        <v>0</v>
      </c>
      <c r="Q682" s="460">
        <f t="shared" si="736"/>
        <v>0</v>
      </c>
      <c r="R682" s="460">
        <f t="shared" si="736"/>
        <v>0</v>
      </c>
      <c r="S682" s="460">
        <f t="shared" si="736"/>
        <v>0</v>
      </c>
      <c r="T682" s="460">
        <f t="shared" si="736"/>
        <v>500000</v>
      </c>
      <c r="U682" s="460"/>
      <c r="V682" s="460"/>
      <c r="W682" s="460"/>
      <c r="X682" s="460"/>
      <c r="Y682" s="460"/>
      <c r="Z682" s="460">
        <f t="shared" ref="Z682:AA682" si="737">SUM(Z680:Z681)</f>
        <v>0</v>
      </c>
      <c r="AA682" s="460">
        <f t="shared" si="737"/>
        <v>500000</v>
      </c>
      <c r="AB682" s="460"/>
      <c r="AC682" s="460"/>
      <c r="AD682" s="460"/>
      <c r="AE682" s="460"/>
      <c r="AF682" s="460"/>
      <c r="AG682" s="460">
        <f t="shared" ref="AG682:AH682" si="738">SUM(AG680:AG681)</f>
        <v>0</v>
      </c>
      <c r="AH682" s="460">
        <f t="shared" si="738"/>
        <v>500000</v>
      </c>
      <c r="AI682" s="460"/>
      <c r="AJ682" s="771"/>
    </row>
    <row r="683" spans="1:36" ht="14">
      <c r="A683" s="677"/>
      <c r="B683" s="677"/>
      <c r="C683" s="465"/>
      <c r="D683" s="465"/>
      <c r="E683" s="465"/>
      <c r="F683" s="66"/>
      <c r="G683" s="41"/>
      <c r="H683" s="66"/>
      <c r="I683" s="66"/>
      <c r="J683" s="128"/>
      <c r="K683" s="208"/>
      <c r="L683" s="217"/>
      <c r="M683" s="217"/>
      <c r="N683" s="217"/>
      <c r="O683" s="217"/>
      <c r="P683" s="217"/>
      <c r="Q683" s="217"/>
      <c r="R683" s="217"/>
      <c r="S683" s="217"/>
      <c r="T683" s="217"/>
      <c r="U683" s="217"/>
      <c r="V683" s="217"/>
      <c r="W683" s="217"/>
      <c r="X683" s="217"/>
      <c r="Y683" s="217"/>
      <c r="Z683" s="217"/>
      <c r="AA683" s="217"/>
      <c r="AB683" s="217"/>
      <c r="AC683" s="217"/>
      <c r="AD683" s="217"/>
      <c r="AE683" s="217"/>
      <c r="AF683" s="217"/>
      <c r="AG683" s="217"/>
      <c r="AH683" s="217"/>
      <c r="AI683" s="217"/>
      <c r="AJ683" s="764"/>
    </row>
    <row r="684" spans="1:36" ht="14">
      <c r="A684" s="677">
        <v>20</v>
      </c>
      <c r="B684" s="677"/>
      <c r="C684" s="465"/>
      <c r="D684" s="465"/>
      <c r="E684" s="465"/>
      <c r="F684" s="481" t="s">
        <v>57</v>
      </c>
      <c r="G684" s="481"/>
      <c r="H684" s="125"/>
      <c r="I684" s="66"/>
      <c r="J684" s="452"/>
      <c r="K684" s="453"/>
      <c r="L684" s="454"/>
      <c r="M684" s="454"/>
      <c r="N684" s="454"/>
      <c r="O684" s="454"/>
      <c r="P684" s="454"/>
      <c r="Q684" s="454"/>
      <c r="R684" s="454"/>
      <c r="S684" s="454"/>
      <c r="T684" s="454"/>
      <c r="U684" s="454"/>
      <c r="V684" s="454"/>
      <c r="W684" s="454"/>
      <c r="X684" s="454"/>
      <c r="Y684" s="454"/>
      <c r="Z684" s="454"/>
      <c r="AA684" s="454"/>
      <c r="AB684" s="454"/>
      <c r="AC684" s="454"/>
      <c r="AD684" s="454"/>
      <c r="AE684" s="454"/>
      <c r="AF684" s="454"/>
      <c r="AG684" s="454"/>
      <c r="AH684" s="454"/>
      <c r="AI684" s="454"/>
      <c r="AJ684" s="769"/>
    </row>
    <row r="685" spans="1:36" ht="14">
      <c r="A685" s="677"/>
      <c r="B685" s="677"/>
      <c r="C685" s="465">
        <v>1</v>
      </c>
      <c r="D685" s="465"/>
      <c r="E685" s="465"/>
      <c r="F685" s="125"/>
      <c r="G685" s="481"/>
      <c r="H685" s="66" t="s">
        <v>35</v>
      </c>
      <c r="I685" s="125"/>
      <c r="J685" s="452"/>
      <c r="K685" s="453"/>
      <c r="L685" s="454"/>
      <c r="M685" s="454"/>
      <c r="N685" s="454"/>
      <c r="O685" s="454"/>
      <c r="P685" s="454"/>
      <c r="Q685" s="454"/>
      <c r="R685" s="454"/>
      <c r="S685" s="454"/>
      <c r="T685" s="454"/>
      <c r="U685" s="454"/>
      <c r="V685" s="454"/>
      <c r="W685" s="454"/>
      <c r="X685" s="454"/>
      <c r="Y685" s="454"/>
      <c r="Z685" s="454"/>
      <c r="AA685" s="454"/>
      <c r="AB685" s="454"/>
      <c r="AC685" s="454"/>
      <c r="AD685" s="454"/>
      <c r="AE685" s="454"/>
      <c r="AF685" s="454"/>
      <c r="AG685" s="454"/>
      <c r="AH685" s="454"/>
      <c r="AI685" s="454"/>
      <c r="AJ685" s="769"/>
    </row>
    <row r="686" spans="1:36" ht="14">
      <c r="A686" s="677"/>
      <c r="B686" s="677"/>
      <c r="C686" s="465"/>
      <c r="D686" s="465">
        <v>1</v>
      </c>
      <c r="E686" s="465" t="s">
        <v>198</v>
      </c>
      <c r="F686" s="125"/>
      <c r="G686" s="481"/>
      <c r="H686" s="125"/>
      <c r="I686" s="66" t="s">
        <v>180</v>
      </c>
      <c r="J686" s="452">
        <v>5000000</v>
      </c>
      <c r="K686" s="453"/>
      <c r="L686" s="217">
        <f>SUM(J686:K686)</f>
        <v>5000000</v>
      </c>
      <c r="M686" s="217">
        <v>1883025</v>
      </c>
      <c r="N686" s="217"/>
      <c r="O686" s="217"/>
      <c r="P686" s="217"/>
      <c r="Q686" s="217"/>
      <c r="R686" s="217"/>
      <c r="S686" s="217">
        <f t="shared" ref="S686:S689" si="739">SUM(M686:R686)</f>
        <v>1883025</v>
      </c>
      <c r="T686" s="217">
        <f t="shared" ref="T686:T689" si="740">S686+L686</f>
        <v>6883025</v>
      </c>
      <c r="U686" s="217"/>
      <c r="V686" s="217"/>
      <c r="W686" s="217"/>
      <c r="X686" s="217">
        <v>-1443758</v>
      </c>
      <c r="Y686" s="217"/>
      <c r="Z686" s="217">
        <f>SUM(U686:Y686)</f>
        <v>-1443758</v>
      </c>
      <c r="AA686" s="217">
        <f>Z686+T686</f>
        <v>5439267</v>
      </c>
      <c r="AB686" s="217"/>
      <c r="AC686" s="217"/>
      <c r="AD686" s="217"/>
      <c r="AE686" s="217">
        <v>-1200367</v>
      </c>
      <c r="AF686" s="217"/>
      <c r="AG686" s="217">
        <f t="shared" ref="AG686:AG689" si="741">SUM(AB686:AF686)</f>
        <v>-1200367</v>
      </c>
      <c r="AH686" s="217">
        <f t="shared" ref="AH686:AH689" si="742">AG686+AA686</f>
        <v>4238900</v>
      </c>
      <c r="AI686" s="217">
        <v>3902451</v>
      </c>
      <c r="AJ686" s="764">
        <f t="shared" ref="AJ686:AJ689" si="743">AI686/AH686*100</f>
        <v>92.062822902168023</v>
      </c>
    </row>
    <row r="687" spans="1:36" ht="14">
      <c r="A687" s="677"/>
      <c r="B687" s="677"/>
      <c r="C687" s="465"/>
      <c r="D687" s="465">
        <v>2</v>
      </c>
      <c r="E687" s="465" t="s">
        <v>198</v>
      </c>
      <c r="F687" s="125"/>
      <c r="G687" s="481"/>
      <c r="H687" s="125"/>
      <c r="I687" s="66" t="s">
        <v>182</v>
      </c>
      <c r="J687" s="452">
        <v>2204568</v>
      </c>
      <c r="K687" s="453"/>
      <c r="L687" s="217">
        <f>SUM(J687:K687)</f>
        <v>2204568</v>
      </c>
      <c r="M687" s="217">
        <v>710686</v>
      </c>
      <c r="N687" s="217"/>
      <c r="O687" s="217"/>
      <c r="P687" s="217"/>
      <c r="Q687" s="217"/>
      <c r="R687" s="217"/>
      <c r="S687" s="217">
        <f t="shared" si="739"/>
        <v>710686</v>
      </c>
      <c r="T687" s="217">
        <f t="shared" si="740"/>
        <v>2915254</v>
      </c>
      <c r="U687" s="217"/>
      <c r="V687" s="217"/>
      <c r="W687" s="217"/>
      <c r="X687" s="217">
        <v>-715585</v>
      </c>
      <c r="Y687" s="217"/>
      <c r="Z687" s="217">
        <f>SUM(U687:Y687)</f>
        <v>-715585</v>
      </c>
      <c r="AA687" s="217">
        <f>Z687+T687</f>
        <v>2199669</v>
      </c>
      <c r="AB687" s="217"/>
      <c r="AC687" s="217"/>
      <c r="AD687" s="217"/>
      <c r="AE687" s="217">
        <v>-72760</v>
      </c>
      <c r="AF687" s="217"/>
      <c r="AG687" s="217">
        <f t="shared" si="741"/>
        <v>-72760</v>
      </c>
      <c r="AH687" s="217">
        <f t="shared" si="742"/>
        <v>2126909</v>
      </c>
      <c r="AI687" s="217">
        <v>1415498</v>
      </c>
      <c r="AJ687" s="764">
        <f t="shared" si="743"/>
        <v>66.551883507945092</v>
      </c>
    </row>
    <row r="688" spans="1:36" ht="14">
      <c r="A688" s="677"/>
      <c r="B688" s="677"/>
      <c r="C688" s="465"/>
      <c r="D688" s="465">
        <v>3</v>
      </c>
      <c r="E688" s="465" t="s">
        <v>198</v>
      </c>
      <c r="F688" s="125"/>
      <c r="G688" s="481"/>
      <c r="H688" s="125"/>
      <c r="I688" s="66" t="s">
        <v>116</v>
      </c>
      <c r="J688" s="452">
        <v>2795432</v>
      </c>
      <c r="K688" s="453"/>
      <c r="L688" s="217">
        <f>SUM(J688:K688)</f>
        <v>2795432</v>
      </c>
      <c r="M688" s="217">
        <v>321561</v>
      </c>
      <c r="N688" s="217"/>
      <c r="O688" s="217"/>
      <c r="P688" s="217"/>
      <c r="Q688" s="217"/>
      <c r="R688" s="217"/>
      <c r="S688" s="217">
        <f t="shared" si="739"/>
        <v>321561</v>
      </c>
      <c r="T688" s="217">
        <f t="shared" si="740"/>
        <v>3116993</v>
      </c>
      <c r="U688" s="217"/>
      <c r="V688" s="217"/>
      <c r="W688" s="217"/>
      <c r="X688" s="217">
        <v>-80392</v>
      </c>
      <c r="Y688" s="217"/>
      <c r="Z688" s="217">
        <f>SUM(U688:Y688)</f>
        <v>-80392</v>
      </c>
      <c r="AA688" s="217">
        <f>Z688+T688</f>
        <v>3036601</v>
      </c>
      <c r="AB688" s="217"/>
      <c r="AC688" s="217"/>
      <c r="AD688" s="217"/>
      <c r="AE688" s="217">
        <v>819828</v>
      </c>
      <c r="AF688" s="217"/>
      <c r="AG688" s="217">
        <f t="shared" si="741"/>
        <v>819828</v>
      </c>
      <c r="AH688" s="217">
        <f t="shared" si="742"/>
        <v>3856429</v>
      </c>
      <c r="AI688" s="217">
        <v>2843730</v>
      </c>
      <c r="AJ688" s="764">
        <f t="shared" si="743"/>
        <v>73.73998069198214</v>
      </c>
    </row>
    <row r="689" spans="1:36" ht="14">
      <c r="A689" s="677"/>
      <c r="B689" s="677"/>
      <c r="C689" s="465"/>
      <c r="D689" s="465">
        <v>5</v>
      </c>
      <c r="E689" s="465" t="s">
        <v>198</v>
      </c>
      <c r="F689" s="125"/>
      <c r="G689" s="481"/>
      <c r="H689" s="125"/>
      <c r="I689" s="66" t="s">
        <v>185</v>
      </c>
      <c r="J689" s="452">
        <v>1000000</v>
      </c>
      <c r="K689" s="453"/>
      <c r="L689" s="217">
        <f>SUM(J689:K689)</f>
        <v>1000000</v>
      </c>
      <c r="M689" s="217"/>
      <c r="N689" s="217"/>
      <c r="O689" s="217"/>
      <c r="P689" s="217"/>
      <c r="Q689" s="217"/>
      <c r="R689" s="217"/>
      <c r="S689" s="217">
        <f t="shared" si="739"/>
        <v>0</v>
      </c>
      <c r="T689" s="217">
        <f t="shared" si="740"/>
        <v>1000000</v>
      </c>
      <c r="U689" s="217"/>
      <c r="V689" s="217"/>
      <c r="W689" s="217"/>
      <c r="X689" s="217">
        <v>105000</v>
      </c>
      <c r="Y689" s="217"/>
      <c r="Z689" s="217">
        <f>SUM(U689:Y689)</f>
        <v>105000</v>
      </c>
      <c r="AA689" s="217">
        <f>Z689+T689</f>
        <v>1105000</v>
      </c>
      <c r="AB689" s="217"/>
      <c r="AC689" s="217"/>
      <c r="AD689" s="217"/>
      <c r="AE689" s="217"/>
      <c r="AF689" s="217"/>
      <c r="AG689" s="217">
        <f t="shared" si="741"/>
        <v>0</v>
      </c>
      <c r="AH689" s="217">
        <f t="shared" si="742"/>
        <v>1105000</v>
      </c>
      <c r="AI689" s="217">
        <v>1105000</v>
      </c>
      <c r="AJ689" s="764">
        <f t="shared" si="743"/>
        <v>100</v>
      </c>
    </row>
    <row r="690" spans="1:36" ht="6" customHeight="1">
      <c r="A690" s="677"/>
      <c r="B690" s="677"/>
      <c r="C690" s="465"/>
      <c r="D690" s="465"/>
      <c r="E690" s="465"/>
      <c r="F690" s="125"/>
      <c r="G690" s="481"/>
      <c r="H690" s="125"/>
      <c r="I690" s="125"/>
      <c r="J690" s="452"/>
      <c r="K690" s="453"/>
      <c r="L690" s="454"/>
      <c r="M690" s="454"/>
      <c r="N690" s="454"/>
      <c r="O690" s="454"/>
      <c r="P690" s="454"/>
      <c r="Q690" s="454"/>
      <c r="R690" s="454"/>
      <c r="S690" s="454"/>
      <c r="T690" s="454"/>
      <c r="U690" s="454"/>
      <c r="V690" s="454"/>
      <c r="W690" s="454"/>
      <c r="X690" s="454"/>
      <c r="Y690" s="454"/>
      <c r="Z690" s="454"/>
      <c r="AA690" s="454"/>
      <c r="AB690" s="454"/>
      <c r="AC690" s="454"/>
      <c r="AD690" s="454"/>
      <c r="AE690" s="454"/>
      <c r="AF690" s="454"/>
      <c r="AG690" s="454"/>
      <c r="AH690" s="454"/>
      <c r="AI690" s="454"/>
      <c r="AJ690" s="769"/>
    </row>
    <row r="691" spans="1:36" ht="16.5" customHeight="1">
      <c r="A691" s="677"/>
      <c r="B691" s="677"/>
      <c r="C691" s="465"/>
      <c r="D691" s="465"/>
      <c r="E691" s="465"/>
      <c r="F691" s="464"/>
      <c r="G691" s="166"/>
      <c r="H691" s="464"/>
      <c r="I691" s="166" t="s">
        <v>37</v>
      </c>
      <c r="J691" s="460">
        <f>SUM(J683:J690)</f>
        <v>11000000</v>
      </c>
      <c r="K691" s="461"/>
      <c r="L691" s="460">
        <f>SUM(L683:L690)</f>
        <v>11000000</v>
      </c>
      <c r="M691" s="460">
        <f>SUM(M686:M690)</f>
        <v>2915272</v>
      </c>
      <c r="N691" s="460">
        <f t="shared" ref="N691:T691" si="744">SUM(N686:N690)</f>
        <v>0</v>
      </c>
      <c r="O691" s="460">
        <f t="shared" si="744"/>
        <v>0</v>
      </c>
      <c r="P691" s="460">
        <f t="shared" si="744"/>
        <v>0</v>
      </c>
      <c r="Q691" s="460">
        <f t="shared" si="744"/>
        <v>0</v>
      </c>
      <c r="R691" s="460">
        <f t="shared" si="744"/>
        <v>0</v>
      </c>
      <c r="S691" s="460">
        <f t="shared" si="744"/>
        <v>2915272</v>
      </c>
      <c r="T691" s="460">
        <f t="shared" si="744"/>
        <v>13915272</v>
      </c>
      <c r="U691" s="460"/>
      <c r="V691" s="460"/>
      <c r="W691" s="460"/>
      <c r="X691" s="460">
        <f t="shared" ref="X691:AA691" si="745">SUM(X686:X690)</f>
        <v>-2134735</v>
      </c>
      <c r="Y691" s="460"/>
      <c r="Z691" s="460">
        <f t="shared" si="745"/>
        <v>-2134735</v>
      </c>
      <c r="AA691" s="460">
        <f t="shared" si="745"/>
        <v>11780537</v>
      </c>
      <c r="AB691" s="460"/>
      <c r="AC691" s="460"/>
      <c r="AD691" s="460"/>
      <c r="AE691" s="460">
        <f t="shared" ref="AE691" si="746">SUM(AE686:AE690)</f>
        <v>-453299</v>
      </c>
      <c r="AF691" s="460"/>
      <c r="AG691" s="460">
        <f t="shared" ref="AG691:AI691" si="747">SUM(AG686:AG690)</f>
        <v>-453299</v>
      </c>
      <c r="AH691" s="460">
        <f t="shared" si="747"/>
        <v>11327238</v>
      </c>
      <c r="AI691" s="460">
        <f t="shared" si="747"/>
        <v>9266679</v>
      </c>
      <c r="AJ691" s="771">
        <f>AI691/AH691*100</f>
        <v>81.808813410647858</v>
      </c>
    </row>
    <row r="692" spans="1:36" ht="16.5" customHeight="1">
      <c r="A692" s="677"/>
      <c r="B692" s="677"/>
      <c r="C692" s="465"/>
      <c r="D692" s="465"/>
      <c r="E692" s="465"/>
      <c r="F692" s="66"/>
      <c r="G692" s="41"/>
      <c r="H692" s="66"/>
      <c r="I692" s="41"/>
      <c r="J692" s="126"/>
      <c r="K692" s="204"/>
      <c r="L692" s="205"/>
      <c r="M692" s="205"/>
      <c r="N692" s="205"/>
      <c r="O692" s="205"/>
      <c r="P692" s="205"/>
      <c r="Q692" s="205"/>
      <c r="R692" s="205"/>
      <c r="S692" s="205"/>
      <c r="T692" s="205"/>
      <c r="U692" s="205"/>
      <c r="V692" s="205"/>
      <c r="W692" s="205"/>
      <c r="X692" s="205"/>
      <c r="Y692" s="205"/>
      <c r="Z692" s="205"/>
      <c r="AA692" s="205"/>
      <c r="AB692" s="205"/>
      <c r="AC692" s="205"/>
      <c r="AD692" s="205"/>
      <c r="AE692" s="205"/>
      <c r="AF692" s="205"/>
      <c r="AG692" s="205"/>
      <c r="AH692" s="205"/>
      <c r="AI692" s="205"/>
      <c r="AJ692" s="747"/>
    </row>
    <row r="693" spans="1:36" ht="16.5" customHeight="1">
      <c r="A693" s="677">
        <v>21</v>
      </c>
      <c r="B693" s="677"/>
      <c r="C693" s="465"/>
      <c r="D693" s="465"/>
      <c r="E693" s="465"/>
      <c r="F693" s="481" t="s">
        <v>173</v>
      </c>
      <c r="G693" s="481"/>
      <c r="H693" s="125"/>
      <c r="I693" s="66"/>
      <c r="J693" s="452"/>
      <c r="K693" s="453"/>
      <c r="L693" s="454"/>
      <c r="M693" s="454"/>
      <c r="N693" s="454"/>
      <c r="O693" s="454"/>
      <c r="P693" s="454"/>
      <c r="Q693" s="454"/>
      <c r="R693" s="454"/>
      <c r="S693" s="454"/>
      <c r="T693" s="454"/>
      <c r="U693" s="454"/>
      <c r="V693" s="454"/>
      <c r="W693" s="454"/>
      <c r="X693" s="454"/>
      <c r="Y693" s="454"/>
      <c r="Z693" s="454"/>
      <c r="AA693" s="454"/>
      <c r="AB693" s="454"/>
      <c r="AC693" s="454"/>
      <c r="AD693" s="454"/>
      <c r="AE693" s="454"/>
      <c r="AF693" s="454"/>
      <c r="AG693" s="454"/>
      <c r="AH693" s="454"/>
      <c r="AI693" s="454"/>
      <c r="AJ693" s="769"/>
    </row>
    <row r="694" spans="1:36" ht="16.5" customHeight="1">
      <c r="A694" s="677"/>
      <c r="B694" s="677"/>
      <c r="C694" s="465">
        <v>1</v>
      </c>
      <c r="D694" s="465"/>
      <c r="E694" s="465"/>
      <c r="F694" s="125"/>
      <c r="G694" s="481"/>
      <c r="H694" s="66" t="s">
        <v>35</v>
      </c>
      <c r="I694" s="125"/>
      <c r="J694" s="452"/>
      <c r="K694" s="453"/>
      <c r="L694" s="454"/>
      <c r="M694" s="454"/>
      <c r="N694" s="454"/>
      <c r="O694" s="454"/>
      <c r="P694" s="454"/>
      <c r="Q694" s="454"/>
      <c r="R694" s="454"/>
      <c r="S694" s="454"/>
      <c r="T694" s="454"/>
      <c r="U694" s="454"/>
      <c r="V694" s="454"/>
      <c r="W694" s="454"/>
      <c r="X694" s="454"/>
      <c r="Y694" s="454"/>
      <c r="Z694" s="454"/>
      <c r="AA694" s="454"/>
      <c r="AB694" s="454"/>
      <c r="AC694" s="454"/>
      <c r="AD694" s="454"/>
      <c r="AE694" s="454"/>
      <c r="AF694" s="454"/>
      <c r="AG694" s="454"/>
      <c r="AH694" s="454"/>
      <c r="AI694" s="454"/>
      <c r="AJ694" s="769"/>
    </row>
    <row r="695" spans="1:36" ht="16.5" customHeight="1">
      <c r="A695" s="677"/>
      <c r="B695" s="677"/>
      <c r="C695" s="465"/>
      <c r="D695" s="465">
        <v>1</v>
      </c>
      <c r="E695" s="465" t="s">
        <v>198</v>
      </c>
      <c r="F695" s="125"/>
      <c r="G695" s="481"/>
      <c r="H695" s="125"/>
      <c r="I695" s="66" t="s">
        <v>180</v>
      </c>
      <c r="J695" s="452">
        <v>7075000</v>
      </c>
      <c r="K695" s="453"/>
      <c r="L695" s="217">
        <f>SUM(J695:K695)</f>
        <v>7075000</v>
      </c>
      <c r="M695" s="217"/>
      <c r="N695" s="217"/>
      <c r="O695" s="217"/>
      <c r="P695" s="217"/>
      <c r="Q695" s="217"/>
      <c r="R695" s="217"/>
      <c r="S695" s="217">
        <f t="shared" ref="S695:S697" si="748">SUM(M695:R695)</f>
        <v>0</v>
      </c>
      <c r="T695" s="217">
        <f t="shared" ref="T695:T697" si="749">S695+L695</f>
        <v>7075000</v>
      </c>
      <c r="U695" s="217"/>
      <c r="V695" s="217"/>
      <c r="W695" s="217"/>
      <c r="X695" s="217"/>
      <c r="Y695" s="217"/>
      <c r="Z695" s="217">
        <f>SUM(U695:Y695)</f>
        <v>0</v>
      </c>
      <c r="AA695" s="217">
        <f>Z695+T695</f>
        <v>7075000</v>
      </c>
      <c r="AB695" s="217"/>
      <c r="AC695" s="217"/>
      <c r="AD695" s="217"/>
      <c r="AE695" s="217">
        <v>906296</v>
      </c>
      <c r="AF695" s="217"/>
      <c r="AG695" s="217">
        <f t="shared" ref="AG695:AG697" si="750">SUM(AB695:AF695)</f>
        <v>906296</v>
      </c>
      <c r="AH695" s="217">
        <f t="shared" ref="AH695:AH697" si="751">AG695+AA695</f>
        <v>7981296</v>
      </c>
      <c r="AI695" s="217">
        <v>7765991</v>
      </c>
      <c r="AJ695" s="764">
        <f t="shared" ref="AJ695:AJ697" si="752">AI695/AH695*100</f>
        <v>97.302380465528401</v>
      </c>
    </row>
    <row r="696" spans="1:36" ht="16.5" customHeight="1">
      <c r="A696" s="677"/>
      <c r="B696" s="677"/>
      <c r="C696" s="465"/>
      <c r="D696" s="465">
        <v>2</v>
      </c>
      <c r="E696" s="465" t="s">
        <v>198</v>
      </c>
      <c r="F696" s="125"/>
      <c r="G696" s="481"/>
      <c r="H696" s="125"/>
      <c r="I696" s="66" t="s">
        <v>182</v>
      </c>
      <c r="J696" s="452">
        <v>1540634</v>
      </c>
      <c r="K696" s="453"/>
      <c r="L696" s="217">
        <f>SUM(J696:K696)</f>
        <v>1540634</v>
      </c>
      <c r="M696" s="217">
        <v>53330</v>
      </c>
      <c r="N696" s="217"/>
      <c r="O696" s="217"/>
      <c r="P696" s="217"/>
      <c r="Q696" s="217"/>
      <c r="R696" s="217"/>
      <c r="S696" s="217">
        <f t="shared" si="748"/>
        <v>53330</v>
      </c>
      <c r="T696" s="217">
        <f t="shared" si="749"/>
        <v>1593964</v>
      </c>
      <c r="U696" s="217"/>
      <c r="V696" s="217"/>
      <c r="W696" s="217"/>
      <c r="X696" s="217"/>
      <c r="Y696" s="217"/>
      <c r="Z696" s="217">
        <f>SUM(U696:Y696)</f>
        <v>0</v>
      </c>
      <c r="AA696" s="217">
        <f>Z696+T696</f>
        <v>1593964</v>
      </c>
      <c r="AB696" s="217"/>
      <c r="AC696" s="217"/>
      <c r="AD696" s="217"/>
      <c r="AE696" s="217">
        <v>286043</v>
      </c>
      <c r="AF696" s="217"/>
      <c r="AG696" s="217">
        <f t="shared" si="750"/>
        <v>286043</v>
      </c>
      <c r="AH696" s="217">
        <f t="shared" si="751"/>
        <v>1880007</v>
      </c>
      <c r="AI696" s="217">
        <v>1640341</v>
      </c>
      <c r="AJ696" s="764">
        <f t="shared" si="752"/>
        <v>87.251855977131996</v>
      </c>
    </row>
    <row r="697" spans="1:36" ht="16.5" customHeight="1">
      <c r="A697" s="40"/>
      <c r="B697" s="40"/>
      <c r="C697" s="124"/>
      <c r="D697" s="124">
        <v>3</v>
      </c>
      <c r="E697" s="124" t="s">
        <v>198</v>
      </c>
      <c r="F697" s="451"/>
      <c r="G697" s="41"/>
      <c r="H697" s="66"/>
      <c r="I697" s="66" t="s">
        <v>116</v>
      </c>
      <c r="J697" s="452">
        <v>584366</v>
      </c>
      <c r="K697" s="453"/>
      <c r="L697" s="217">
        <f>SUM(J697:K697)</f>
        <v>584366</v>
      </c>
      <c r="M697" s="217"/>
      <c r="N697" s="217"/>
      <c r="O697" s="217"/>
      <c r="P697" s="217"/>
      <c r="Q697" s="217"/>
      <c r="R697" s="217"/>
      <c r="S697" s="217">
        <f t="shared" si="748"/>
        <v>0</v>
      </c>
      <c r="T697" s="217">
        <f t="shared" si="749"/>
        <v>584366</v>
      </c>
      <c r="U697" s="217"/>
      <c r="V697" s="217"/>
      <c r="W697" s="217"/>
      <c r="X697" s="217"/>
      <c r="Y697" s="217"/>
      <c r="Z697" s="217">
        <f>SUM(U697:Y697)</f>
        <v>0</v>
      </c>
      <c r="AA697" s="217">
        <f>Z697+T697</f>
        <v>584366</v>
      </c>
      <c r="AB697" s="217"/>
      <c r="AC697" s="217"/>
      <c r="AD697" s="217"/>
      <c r="AE697" s="217">
        <v>-143403</v>
      </c>
      <c r="AF697" s="217"/>
      <c r="AG697" s="217">
        <f t="shared" si="750"/>
        <v>-143403</v>
      </c>
      <c r="AH697" s="217">
        <f t="shared" si="751"/>
        <v>440963</v>
      </c>
      <c r="AI697" s="217">
        <v>183158</v>
      </c>
      <c r="AJ697" s="764">
        <f t="shared" si="752"/>
        <v>41.535911176221134</v>
      </c>
    </row>
    <row r="698" spans="1:36" ht="7.5" customHeight="1">
      <c r="A698" s="40"/>
      <c r="B698" s="40"/>
      <c r="C698" s="124"/>
      <c r="D698" s="124"/>
      <c r="E698" s="124"/>
      <c r="F698" s="451"/>
      <c r="G698" s="41"/>
      <c r="H698" s="66"/>
      <c r="I698" s="66"/>
      <c r="J698" s="452"/>
      <c r="K698" s="453"/>
      <c r="L698" s="454"/>
      <c r="M698" s="454"/>
      <c r="N698" s="454"/>
      <c r="O698" s="454"/>
      <c r="P698" s="454"/>
      <c r="Q698" s="454"/>
      <c r="R698" s="454"/>
      <c r="S698" s="454"/>
      <c r="T698" s="454"/>
      <c r="U698" s="454"/>
      <c r="V698" s="454"/>
      <c r="W698" s="454"/>
      <c r="X698" s="454"/>
      <c r="Y698" s="454"/>
      <c r="Z698" s="454"/>
      <c r="AA698" s="454"/>
      <c r="AB698" s="454"/>
      <c r="AC698" s="454"/>
      <c r="AD698" s="454"/>
      <c r="AE698" s="454"/>
      <c r="AF698" s="454"/>
      <c r="AG698" s="454"/>
      <c r="AH698" s="454"/>
      <c r="AI698" s="454"/>
      <c r="AJ698" s="769"/>
    </row>
    <row r="699" spans="1:36" ht="16.5" customHeight="1">
      <c r="A699" s="40"/>
      <c r="B699" s="40"/>
      <c r="C699" s="124"/>
      <c r="D699" s="124"/>
      <c r="E699" s="124"/>
      <c r="F699" s="166"/>
      <c r="G699" s="166"/>
      <c r="H699" s="464"/>
      <c r="I699" s="166" t="s">
        <v>37</v>
      </c>
      <c r="J699" s="460">
        <f>SUM(J692:J698)</f>
        <v>9200000</v>
      </c>
      <c r="K699" s="461"/>
      <c r="L699" s="460">
        <f>SUM(L692:L698)</f>
        <v>9200000</v>
      </c>
      <c r="M699" s="460">
        <f t="shared" ref="M699:T699" si="753">SUM(M692:M698)</f>
        <v>53330</v>
      </c>
      <c r="N699" s="460">
        <f t="shared" si="753"/>
        <v>0</v>
      </c>
      <c r="O699" s="460">
        <f t="shared" si="753"/>
        <v>0</v>
      </c>
      <c r="P699" s="460">
        <f t="shared" si="753"/>
        <v>0</v>
      </c>
      <c r="Q699" s="460">
        <f t="shared" si="753"/>
        <v>0</v>
      </c>
      <c r="R699" s="460">
        <f t="shared" si="753"/>
        <v>0</v>
      </c>
      <c r="S699" s="460">
        <f t="shared" si="753"/>
        <v>53330</v>
      </c>
      <c r="T699" s="460">
        <f t="shared" si="753"/>
        <v>9253330</v>
      </c>
      <c r="U699" s="460"/>
      <c r="V699" s="460"/>
      <c r="W699" s="460"/>
      <c r="X699" s="460"/>
      <c r="Y699" s="460"/>
      <c r="Z699" s="460">
        <f t="shared" ref="Z699:AA699" si="754">SUM(Z692:Z698)</f>
        <v>0</v>
      </c>
      <c r="AA699" s="460">
        <f t="shared" si="754"/>
        <v>9253330</v>
      </c>
      <c r="AB699" s="460"/>
      <c r="AC699" s="460"/>
      <c r="AD699" s="460"/>
      <c r="AE699" s="460">
        <f t="shared" ref="AE699:AI699" si="755">SUM(AE692:AE698)</f>
        <v>1048936</v>
      </c>
      <c r="AF699" s="460"/>
      <c r="AG699" s="460">
        <f t="shared" si="755"/>
        <v>1048936</v>
      </c>
      <c r="AH699" s="460">
        <f t="shared" si="755"/>
        <v>10302266</v>
      </c>
      <c r="AI699" s="460">
        <f t="shared" si="755"/>
        <v>9589490</v>
      </c>
      <c r="AJ699" s="771">
        <f>AI699/AH699*100</f>
        <v>93.081366759507077</v>
      </c>
    </row>
    <row r="700" spans="1:36" ht="16.5" customHeight="1">
      <c r="A700" s="40"/>
      <c r="B700" s="40"/>
      <c r="C700" s="124"/>
      <c r="D700" s="124"/>
      <c r="E700" s="124"/>
      <c r="F700" s="41"/>
      <c r="G700" s="41"/>
      <c r="H700" s="66"/>
      <c r="I700" s="41"/>
      <c r="J700" s="126"/>
      <c r="K700" s="204"/>
      <c r="L700" s="205"/>
      <c r="M700" s="205"/>
      <c r="N700" s="205"/>
      <c r="O700" s="205"/>
      <c r="P700" s="205"/>
      <c r="Q700" s="205"/>
      <c r="R700" s="205"/>
      <c r="S700" s="205"/>
      <c r="T700" s="205"/>
      <c r="U700" s="205"/>
      <c r="V700" s="205"/>
      <c r="W700" s="205"/>
      <c r="X700" s="205"/>
      <c r="Y700" s="205"/>
      <c r="Z700" s="205"/>
      <c r="AA700" s="205"/>
      <c r="AB700" s="205"/>
      <c r="AC700" s="205"/>
      <c r="AD700" s="205"/>
      <c r="AE700" s="205"/>
      <c r="AF700" s="205"/>
      <c r="AG700" s="205"/>
      <c r="AH700" s="205"/>
      <c r="AI700" s="205"/>
      <c r="AJ700" s="747"/>
    </row>
    <row r="701" spans="1:36" ht="16.5" customHeight="1">
      <c r="A701" s="677">
        <v>22</v>
      </c>
      <c r="B701" s="677"/>
      <c r="C701" s="465"/>
      <c r="D701" s="465"/>
      <c r="E701" s="465"/>
      <c r="F701" s="481" t="s">
        <v>174</v>
      </c>
      <c r="G701" s="481"/>
      <c r="H701" s="125"/>
      <c r="I701" s="66"/>
      <c r="J701" s="452"/>
      <c r="K701" s="453"/>
      <c r="L701" s="454"/>
      <c r="M701" s="454"/>
      <c r="N701" s="454"/>
      <c r="O701" s="454"/>
      <c r="P701" s="454"/>
      <c r="Q701" s="454"/>
      <c r="R701" s="454"/>
      <c r="S701" s="454"/>
      <c r="T701" s="454"/>
      <c r="U701" s="454"/>
      <c r="V701" s="454"/>
      <c r="W701" s="454"/>
      <c r="X701" s="454"/>
      <c r="Y701" s="454"/>
      <c r="Z701" s="454"/>
      <c r="AA701" s="454"/>
      <c r="AB701" s="454"/>
      <c r="AC701" s="454"/>
      <c r="AD701" s="454"/>
      <c r="AE701" s="454"/>
      <c r="AF701" s="454"/>
      <c r="AG701" s="454"/>
      <c r="AH701" s="454"/>
      <c r="AI701" s="454"/>
      <c r="AJ701" s="769"/>
    </row>
    <row r="702" spans="1:36" ht="16.5" customHeight="1">
      <c r="A702" s="677"/>
      <c r="B702" s="677"/>
      <c r="C702" s="465">
        <v>1</v>
      </c>
      <c r="D702" s="465"/>
      <c r="E702" s="465"/>
      <c r="F702" s="125"/>
      <c r="G702" s="481"/>
      <c r="H702" s="66" t="s">
        <v>35</v>
      </c>
      <c r="I702" s="125"/>
      <c r="J702" s="452"/>
      <c r="K702" s="453"/>
      <c r="L702" s="454"/>
      <c r="M702" s="454"/>
      <c r="N702" s="454"/>
      <c r="O702" s="454"/>
      <c r="P702" s="454"/>
      <c r="Q702" s="454"/>
      <c r="R702" s="454"/>
      <c r="S702" s="454"/>
      <c r="T702" s="454"/>
      <c r="U702" s="454"/>
      <c r="V702" s="454"/>
      <c r="W702" s="454"/>
      <c r="X702" s="454"/>
      <c r="Y702" s="454"/>
      <c r="Z702" s="454"/>
      <c r="AA702" s="454"/>
      <c r="AB702" s="454"/>
      <c r="AC702" s="454"/>
      <c r="AD702" s="454"/>
      <c r="AE702" s="454"/>
      <c r="AF702" s="454"/>
      <c r="AG702" s="454"/>
      <c r="AH702" s="454"/>
      <c r="AI702" s="454"/>
      <c r="AJ702" s="769"/>
    </row>
    <row r="703" spans="1:36" ht="16.5" customHeight="1">
      <c r="A703" s="677"/>
      <c r="B703" s="677"/>
      <c r="C703" s="465"/>
      <c r="D703" s="465">
        <v>1</v>
      </c>
      <c r="E703" s="465" t="s">
        <v>199</v>
      </c>
      <c r="F703" s="125"/>
      <c r="G703" s="481"/>
      <c r="H703" s="125"/>
      <c r="I703" s="66" t="s">
        <v>180</v>
      </c>
      <c r="J703" s="452">
        <v>82001345</v>
      </c>
      <c r="K703" s="453"/>
      <c r="L703" s="217">
        <f t="shared" ref="L703:L708" si="756">SUM(J703:K703)</f>
        <v>82001345</v>
      </c>
      <c r="M703" s="217">
        <v>6247056</v>
      </c>
      <c r="N703" s="217"/>
      <c r="O703" s="217"/>
      <c r="P703" s="217"/>
      <c r="Q703" s="217">
        <v>1706045</v>
      </c>
      <c r="R703" s="217"/>
      <c r="S703" s="217">
        <f t="shared" ref="S703:S708" si="757">SUM(M703:R703)</f>
        <v>7953101</v>
      </c>
      <c r="T703" s="217">
        <f t="shared" ref="T703:T708" si="758">S703+L703</f>
        <v>89954446</v>
      </c>
      <c r="U703" s="217"/>
      <c r="V703" s="217"/>
      <c r="W703" s="217"/>
      <c r="X703" s="217"/>
      <c r="Y703" s="217"/>
      <c r="Z703" s="217">
        <f t="shared" ref="Z703:Z709" si="759">SUM(U703:Y703)</f>
        <v>0</v>
      </c>
      <c r="AA703" s="217">
        <f t="shared" ref="AA703:AA709" si="760">Z703+T703</f>
        <v>89954446</v>
      </c>
      <c r="AB703" s="217"/>
      <c r="AC703" s="217"/>
      <c r="AD703" s="217"/>
      <c r="AE703" s="217">
        <v>-123000</v>
      </c>
      <c r="AF703" s="217"/>
      <c r="AG703" s="217">
        <f t="shared" ref="AG703:AG709" si="761">SUM(AB703:AF703)</f>
        <v>-123000</v>
      </c>
      <c r="AH703" s="217">
        <f t="shared" ref="AH703:AH709" si="762">AG703+AA703</f>
        <v>89831446</v>
      </c>
      <c r="AI703" s="217">
        <v>84014047</v>
      </c>
      <c r="AJ703" s="764">
        <f t="shared" ref="AJ703:AJ709" si="763">AI703/AH703*100</f>
        <v>93.524095114755241</v>
      </c>
    </row>
    <row r="704" spans="1:36" ht="16.5" customHeight="1">
      <c r="A704" s="677"/>
      <c r="B704" s="677"/>
      <c r="C704" s="465"/>
      <c r="D704" s="465">
        <v>1</v>
      </c>
      <c r="E704" s="465" t="s">
        <v>198</v>
      </c>
      <c r="F704" s="125"/>
      <c r="G704" s="481"/>
      <c r="H704" s="125"/>
      <c r="I704" s="66" t="s">
        <v>180</v>
      </c>
      <c r="J704" s="452">
        <v>13000000</v>
      </c>
      <c r="K704" s="453"/>
      <c r="L704" s="217">
        <f t="shared" si="756"/>
        <v>13000000</v>
      </c>
      <c r="M704" s="217">
        <v>12882044</v>
      </c>
      <c r="N704" s="217"/>
      <c r="O704" s="217"/>
      <c r="P704" s="217"/>
      <c r="Q704" s="217">
        <v>-2112000</v>
      </c>
      <c r="R704" s="217"/>
      <c r="S704" s="217">
        <f t="shared" si="757"/>
        <v>10770044</v>
      </c>
      <c r="T704" s="217">
        <f t="shared" si="758"/>
        <v>23770044</v>
      </c>
      <c r="U704" s="217"/>
      <c r="V704" s="217"/>
      <c r="W704" s="217"/>
      <c r="X704" s="217"/>
      <c r="Y704" s="217"/>
      <c r="Z704" s="217">
        <f t="shared" si="759"/>
        <v>0</v>
      </c>
      <c r="AA704" s="217">
        <f t="shared" si="760"/>
        <v>23770044</v>
      </c>
      <c r="AB704" s="217"/>
      <c r="AC704" s="217"/>
      <c r="AD704" s="217"/>
      <c r="AE704" s="217">
        <v>5543064</v>
      </c>
      <c r="AF704" s="217"/>
      <c r="AG704" s="217">
        <f t="shared" si="761"/>
        <v>5543064</v>
      </c>
      <c r="AH704" s="217">
        <f t="shared" si="762"/>
        <v>29313108</v>
      </c>
      <c r="AI704" s="217">
        <v>10686128</v>
      </c>
      <c r="AJ704" s="764">
        <f t="shared" si="763"/>
        <v>36.455117621782037</v>
      </c>
    </row>
    <row r="705" spans="1:36" ht="16.5" customHeight="1">
      <c r="A705" s="40"/>
      <c r="B705" s="40"/>
      <c r="C705" s="124"/>
      <c r="D705" s="124">
        <v>2</v>
      </c>
      <c r="E705" s="124" t="s">
        <v>199</v>
      </c>
      <c r="F705" s="451"/>
      <c r="G705" s="41"/>
      <c r="H705" s="66"/>
      <c r="I705" s="66" t="s">
        <v>182</v>
      </c>
      <c r="J705" s="452">
        <v>15380272</v>
      </c>
      <c r="K705" s="453"/>
      <c r="L705" s="217">
        <f t="shared" si="756"/>
        <v>15380272</v>
      </c>
      <c r="M705" s="217">
        <v>1149498</v>
      </c>
      <c r="N705" s="217"/>
      <c r="O705" s="217"/>
      <c r="P705" s="217"/>
      <c r="Q705" s="217">
        <v>299411</v>
      </c>
      <c r="R705" s="217"/>
      <c r="S705" s="217">
        <f t="shared" si="757"/>
        <v>1448909</v>
      </c>
      <c r="T705" s="217">
        <f t="shared" si="758"/>
        <v>16829181</v>
      </c>
      <c r="U705" s="217"/>
      <c r="V705" s="217"/>
      <c r="W705" s="217"/>
      <c r="X705" s="217"/>
      <c r="Y705" s="217"/>
      <c r="Z705" s="217">
        <f t="shared" si="759"/>
        <v>0</v>
      </c>
      <c r="AA705" s="217">
        <f t="shared" si="760"/>
        <v>16829181</v>
      </c>
      <c r="AB705" s="217"/>
      <c r="AC705" s="217"/>
      <c r="AD705" s="217"/>
      <c r="AE705" s="217"/>
      <c r="AF705" s="217"/>
      <c r="AG705" s="217">
        <f t="shared" si="761"/>
        <v>0</v>
      </c>
      <c r="AH705" s="217">
        <f t="shared" si="762"/>
        <v>16829181</v>
      </c>
      <c r="AI705" s="217">
        <v>15819478</v>
      </c>
      <c r="AJ705" s="764">
        <f t="shared" si="763"/>
        <v>94.000284386982344</v>
      </c>
    </row>
    <row r="706" spans="1:36" ht="14">
      <c r="A706" s="40"/>
      <c r="B706" s="40"/>
      <c r="C706" s="124"/>
      <c r="D706" s="124">
        <v>2</v>
      </c>
      <c r="E706" s="124" t="s">
        <v>198</v>
      </c>
      <c r="F706" s="451"/>
      <c r="G706" s="41"/>
      <c r="H706" s="66"/>
      <c r="I706" s="66" t="s">
        <v>182</v>
      </c>
      <c r="J706" s="452">
        <v>5013636</v>
      </c>
      <c r="K706" s="453"/>
      <c r="L706" s="217">
        <f t="shared" si="756"/>
        <v>5013636</v>
      </c>
      <c r="M706" s="217">
        <v>3478927</v>
      </c>
      <c r="N706" s="217"/>
      <c r="O706" s="217"/>
      <c r="P706" s="217"/>
      <c r="Q706" s="217">
        <v>-539230</v>
      </c>
      <c r="R706" s="217"/>
      <c r="S706" s="217">
        <f t="shared" si="757"/>
        <v>2939697</v>
      </c>
      <c r="T706" s="217">
        <f t="shared" si="758"/>
        <v>7953333</v>
      </c>
      <c r="U706" s="217"/>
      <c r="V706" s="217"/>
      <c r="W706" s="217"/>
      <c r="X706" s="217"/>
      <c r="Y706" s="217"/>
      <c r="Z706" s="217">
        <f t="shared" si="759"/>
        <v>0</v>
      </c>
      <c r="AA706" s="217">
        <f t="shared" si="760"/>
        <v>7953333</v>
      </c>
      <c r="AB706" s="217"/>
      <c r="AC706" s="217"/>
      <c r="AD706" s="217"/>
      <c r="AE706" s="217">
        <v>2034619</v>
      </c>
      <c r="AF706" s="217"/>
      <c r="AG706" s="217">
        <f t="shared" si="761"/>
        <v>2034619</v>
      </c>
      <c r="AH706" s="217">
        <f t="shared" si="762"/>
        <v>9987952</v>
      </c>
      <c r="AI706" s="217">
        <v>3438603</v>
      </c>
      <c r="AJ706" s="764">
        <f t="shared" si="763"/>
        <v>34.427508261954003</v>
      </c>
    </row>
    <row r="707" spans="1:36" ht="14">
      <c r="A707" s="40"/>
      <c r="B707" s="40"/>
      <c r="C707" s="124"/>
      <c r="D707" s="124">
        <v>3</v>
      </c>
      <c r="E707" s="124" t="s">
        <v>199</v>
      </c>
      <c r="F707" s="451"/>
      <c r="G707" s="41"/>
      <c r="H707" s="66"/>
      <c r="I707" s="66" t="s">
        <v>116</v>
      </c>
      <c r="J707" s="452">
        <v>152448000</v>
      </c>
      <c r="K707" s="453"/>
      <c r="L707" s="217">
        <f t="shared" si="756"/>
        <v>152448000</v>
      </c>
      <c r="M707" s="217">
        <v>31767236</v>
      </c>
      <c r="N707" s="217"/>
      <c r="O707" s="217"/>
      <c r="P707" s="217"/>
      <c r="Q707" s="217">
        <v>-9572800</v>
      </c>
      <c r="R707" s="217"/>
      <c r="S707" s="217">
        <f t="shared" si="757"/>
        <v>22194436</v>
      </c>
      <c r="T707" s="217">
        <f t="shared" si="758"/>
        <v>174642436</v>
      </c>
      <c r="U707" s="217"/>
      <c r="V707" s="217"/>
      <c r="W707" s="217"/>
      <c r="X707" s="217">
        <v>-1308362</v>
      </c>
      <c r="Y707" s="217"/>
      <c r="Z707" s="217">
        <f t="shared" si="759"/>
        <v>-1308362</v>
      </c>
      <c r="AA707" s="217">
        <f t="shared" si="760"/>
        <v>173334074</v>
      </c>
      <c r="AB707" s="217"/>
      <c r="AC707" s="217"/>
      <c r="AD707" s="217"/>
      <c r="AE707" s="217">
        <v>-3261011</v>
      </c>
      <c r="AF707" s="217"/>
      <c r="AG707" s="217">
        <f t="shared" si="761"/>
        <v>-3261011</v>
      </c>
      <c r="AH707" s="217">
        <f t="shared" si="762"/>
        <v>170073063</v>
      </c>
      <c r="AI707" s="217">
        <v>143062453</v>
      </c>
      <c r="AJ707" s="764">
        <f t="shared" si="763"/>
        <v>84.118231586150713</v>
      </c>
    </row>
    <row r="708" spans="1:36" ht="14">
      <c r="A708" s="40"/>
      <c r="B708" s="40"/>
      <c r="C708" s="124"/>
      <c r="D708" s="124">
        <v>3</v>
      </c>
      <c r="E708" s="124" t="s">
        <v>198</v>
      </c>
      <c r="F708" s="451"/>
      <c r="G708" s="41"/>
      <c r="H708" s="66"/>
      <c r="I708" s="66" t="s">
        <v>116</v>
      </c>
      <c r="J708" s="452">
        <v>20176978</v>
      </c>
      <c r="K708" s="453"/>
      <c r="L708" s="217">
        <f t="shared" si="756"/>
        <v>20176978</v>
      </c>
      <c r="M708" s="217">
        <v>1353559</v>
      </c>
      <c r="N708" s="217"/>
      <c r="O708" s="217"/>
      <c r="P708" s="217"/>
      <c r="Q708" s="217">
        <v>10000000</v>
      </c>
      <c r="R708" s="217"/>
      <c r="S708" s="217">
        <f t="shared" si="757"/>
        <v>11353559</v>
      </c>
      <c r="T708" s="217">
        <f t="shared" si="758"/>
        <v>31530537</v>
      </c>
      <c r="U708" s="217"/>
      <c r="V708" s="217"/>
      <c r="W708" s="217"/>
      <c r="X708" s="217"/>
      <c r="Y708" s="217"/>
      <c r="Z708" s="217">
        <f t="shared" si="759"/>
        <v>0</v>
      </c>
      <c r="AA708" s="217">
        <f t="shared" si="760"/>
        <v>31530537</v>
      </c>
      <c r="AB708" s="217"/>
      <c r="AC708" s="217"/>
      <c r="AD708" s="217">
        <v>1000000</v>
      </c>
      <c r="AE708" s="217">
        <v>-3341752</v>
      </c>
      <c r="AF708" s="217"/>
      <c r="AG708" s="217">
        <f t="shared" si="761"/>
        <v>-2341752</v>
      </c>
      <c r="AH708" s="217">
        <f t="shared" si="762"/>
        <v>29188785</v>
      </c>
      <c r="AI708" s="217">
        <v>22743059</v>
      </c>
      <c r="AJ708" s="764">
        <f t="shared" si="763"/>
        <v>77.917114398560955</v>
      </c>
    </row>
    <row r="709" spans="1:36" ht="14">
      <c r="A709" s="160"/>
      <c r="B709" s="160"/>
      <c r="C709" s="161"/>
      <c r="D709" s="161">
        <v>5</v>
      </c>
      <c r="E709" s="161" t="s">
        <v>199</v>
      </c>
      <c r="F709" s="41"/>
      <c r="G709" s="41"/>
      <c r="H709" s="66"/>
      <c r="I709" s="66" t="s">
        <v>185</v>
      </c>
      <c r="J709" s="454"/>
      <c r="K709" s="483"/>
      <c r="L709" s="217"/>
      <c r="M709" s="217"/>
      <c r="N709" s="217"/>
      <c r="O709" s="217"/>
      <c r="P709" s="217"/>
      <c r="Q709" s="217">
        <v>50000</v>
      </c>
      <c r="R709" s="217"/>
      <c r="S709" s="217">
        <f t="shared" ref="S709" si="764">SUM(M709:R709)</f>
        <v>50000</v>
      </c>
      <c r="T709" s="217">
        <f t="shared" ref="T709" si="765">S709+L709</f>
        <v>50000</v>
      </c>
      <c r="U709" s="217"/>
      <c r="V709" s="217"/>
      <c r="W709" s="217"/>
      <c r="X709" s="217"/>
      <c r="Y709" s="217"/>
      <c r="Z709" s="217">
        <f t="shared" si="759"/>
        <v>0</v>
      </c>
      <c r="AA709" s="217">
        <f t="shared" si="760"/>
        <v>50000</v>
      </c>
      <c r="AB709" s="217"/>
      <c r="AC709" s="217"/>
      <c r="AD709" s="217"/>
      <c r="AE709" s="217"/>
      <c r="AF709" s="217"/>
      <c r="AG709" s="217">
        <f t="shared" si="761"/>
        <v>0</v>
      </c>
      <c r="AH709" s="217">
        <f t="shared" si="762"/>
        <v>50000</v>
      </c>
      <c r="AI709" s="217">
        <v>50000</v>
      </c>
      <c r="AJ709" s="764">
        <f t="shared" si="763"/>
        <v>100</v>
      </c>
    </row>
    <row r="710" spans="1:36" ht="14">
      <c r="A710" s="40"/>
      <c r="B710" s="40"/>
      <c r="C710" s="124"/>
      <c r="D710" s="124"/>
      <c r="E710" s="124"/>
      <c r="F710" s="41"/>
      <c r="G710" s="41"/>
      <c r="H710" s="66"/>
      <c r="I710" s="41"/>
      <c r="J710" s="126"/>
      <c r="K710" s="204"/>
      <c r="L710" s="205"/>
      <c r="M710" s="205"/>
      <c r="N710" s="205"/>
      <c r="O710" s="205"/>
      <c r="P710" s="205"/>
      <c r="Q710" s="205"/>
      <c r="R710" s="205"/>
      <c r="S710" s="205"/>
      <c r="T710" s="205"/>
      <c r="U710" s="205"/>
      <c r="V710" s="205"/>
      <c r="W710" s="205"/>
      <c r="X710" s="205"/>
      <c r="Y710" s="205"/>
      <c r="Z710" s="205"/>
      <c r="AA710" s="205"/>
      <c r="AB710" s="205"/>
      <c r="AC710" s="205"/>
      <c r="AD710" s="205"/>
      <c r="AE710" s="205"/>
      <c r="AF710" s="205"/>
      <c r="AG710" s="205"/>
      <c r="AH710" s="205"/>
      <c r="AI710" s="205"/>
      <c r="AJ710" s="747"/>
    </row>
    <row r="711" spans="1:36" ht="14">
      <c r="A711" s="40"/>
      <c r="B711" s="40"/>
      <c r="C711" s="124"/>
      <c r="D711" s="124"/>
      <c r="E711" s="124"/>
      <c r="F711" s="42"/>
      <c r="G711" s="42"/>
      <c r="H711" s="129"/>
      <c r="I711" s="42" t="s">
        <v>37</v>
      </c>
      <c r="J711" s="488">
        <f>SUM(J703:J710)</f>
        <v>288020231</v>
      </c>
      <c r="K711" s="489"/>
      <c r="L711" s="490">
        <f>SUM(L703:L710)</f>
        <v>288020231</v>
      </c>
      <c r="M711" s="490">
        <f t="shared" ref="M711:T711" si="766">SUM(M703:M710)</f>
        <v>56878320</v>
      </c>
      <c r="N711" s="490">
        <f t="shared" si="766"/>
        <v>0</v>
      </c>
      <c r="O711" s="490">
        <f t="shared" si="766"/>
        <v>0</v>
      </c>
      <c r="P711" s="490">
        <f t="shared" si="766"/>
        <v>0</v>
      </c>
      <c r="Q711" s="490">
        <f t="shared" si="766"/>
        <v>-168574</v>
      </c>
      <c r="R711" s="490">
        <f t="shared" si="766"/>
        <v>0</v>
      </c>
      <c r="S711" s="490">
        <f t="shared" si="766"/>
        <v>56709746</v>
      </c>
      <c r="T711" s="490">
        <f t="shared" si="766"/>
        <v>344729977</v>
      </c>
      <c r="U711" s="490"/>
      <c r="V711" s="490"/>
      <c r="W711" s="490"/>
      <c r="X711" s="490">
        <f t="shared" ref="X711:AA711" si="767">SUM(X703:X710)</f>
        <v>-1308362</v>
      </c>
      <c r="Y711" s="490"/>
      <c r="Z711" s="490">
        <f t="shared" si="767"/>
        <v>-1308362</v>
      </c>
      <c r="AA711" s="490">
        <f t="shared" si="767"/>
        <v>343421615</v>
      </c>
      <c r="AB711" s="490"/>
      <c r="AC711" s="490"/>
      <c r="AD711" s="490">
        <f t="shared" ref="AD711:AE711" si="768">SUM(AD703:AD710)</f>
        <v>1000000</v>
      </c>
      <c r="AE711" s="490">
        <f t="shared" si="768"/>
        <v>851920</v>
      </c>
      <c r="AF711" s="490"/>
      <c r="AG711" s="490">
        <f t="shared" ref="AG711:AI711" si="769">SUM(AG703:AG710)</f>
        <v>1851920</v>
      </c>
      <c r="AH711" s="490">
        <f t="shared" si="769"/>
        <v>345273535</v>
      </c>
      <c r="AI711" s="490">
        <f t="shared" si="769"/>
        <v>279813768</v>
      </c>
      <c r="AJ711" s="774">
        <f>AI711/AH711*100</f>
        <v>81.041186084534402</v>
      </c>
    </row>
    <row r="712" spans="1:36" ht="5.5" customHeight="1">
      <c r="A712" s="40"/>
      <c r="B712" s="40"/>
      <c r="C712" s="124"/>
      <c r="D712" s="124"/>
      <c r="E712" s="124"/>
      <c r="F712" s="41"/>
      <c r="G712" s="41"/>
      <c r="H712" s="66"/>
      <c r="I712" s="66"/>
      <c r="J712" s="126"/>
      <c r="K712" s="204"/>
      <c r="L712" s="205"/>
      <c r="M712" s="205"/>
      <c r="N712" s="205"/>
      <c r="O712" s="205"/>
      <c r="P712" s="205"/>
      <c r="Q712" s="205"/>
      <c r="R712" s="205"/>
      <c r="S712" s="205"/>
      <c r="T712" s="205"/>
      <c r="U712" s="205"/>
      <c r="V712" s="205"/>
      <c r="W712" s="205"/>
      <c r="X712" s="205"/>
      <c r="Y712" s="205"/>
      <c r="Z712" s="205"/>
      <c r="AA712" s="205"/>
      <c r="AB712" s="205"/>
      <c r="AC712" s="205"/>
      <c r="AD712" s="205"/>
      <c r="AE712" s="205"/>
      <c r="AF712" s="205"/>
      <c r="AG712" s="205"/>
      <c r="AH712" s="205"/>
      <c r="AI712" s="205"/>
      <c r="AJ712" s="747"/>
    </row>
    <row r="713" spans="1:36" ht="14">
      <c r="A713" s="677">
        <v>23</v>
      </c>
      <c r="B713" s="677"/>
      <c r="C713" s="465"/>
      <c r="D713" s="465"/>
      <c r="E713" s="465"/>
      <c r="F713" s="481" t="s">
        <v>54</v>
      </c>
      <c r="G713" s="481"/>
      <c r="H713" s="125"/>
      <c r="I713" s="66"/>
      <c r="J713" s="452"/>
      <c r="K713" s="453"/>
      <c r="L713" s="454"/>
      <c r="M713" s="454"/>
      <c r="N713" s="454"/>
      <c r="O713" s="454"/>
      <c r="P713" s="454"/>
      <c r="Q713" s="454"/>
      <c r="R713" s="454"/>
      <c r="S713" s="454"/>
      <c r="T713" s="454"/>
      <c r="U713" s="454"/>
      <c r="V713" s="454"/>
      <c r="W713" s="454"/>
      <c r="X713" s="454"/>
      <c r="Y713" s="454"/>
      <c r="Z713" s="454"/>
      <c r="AA713" s="454"/>
      <c r="AB713" s="454"/>
      <c r="AC713" s="454"/>
      <c r="AD713" s="454"/>
      <c r="AE713" s="454"/>
      <c r="AF713" s="454"/>
      <c r="AG713" s="454"/>
      <c r="AH713" s="454"/>
      <c r="AI713" s="454"/>
      <c r="AJ713" s="769"/>
    </row>
    <row r="714" spans="1:36" ht="14">
      <c r="A714" s="677"/>
      <c r="B714" s="677"/>
      <c r="C714" s="465">
        <v>1</v>
      </c>
      <c r="D714" s="465"/>
      <c r="E714" s="465"/>
      <c r="F714" s="125"/>
      <c r="G714" s="481"/>
      <c r="H714" s="66" t="s">
        <v>35</v>
      </c>
      <c r="I714" s="125"/>
      <c r="J714" s="452"/>
      <c r="K714" s="453"/>
      <c r="L714" s="454"/>
      <c r="M714" s="454"/>
      <c r="N714" s="454"/>
      <c r="O714" s="454"/>
      <c r="P714" s="454"/>
      <c r="Q714" s="454"/>
      <c r="R714" s="454"/>
      <c r="S714" s="454"/>
      <c r="T714" s="454"/>
      <c r="U714" s="454"/>
      <c r="V714" s="454"/>
      <c r="W714" s="454"/>
      <c r="X714" s="454"/>
      <c r="Y714" s="454"/>
      <c r="Z714" s="454"/>
      <c r="AA714" s="454"/>
      <c r="AB714" s="454"/>
      <c r="AC714" s="454"/>
      <c r="AD714" s="454"/>
      <c r="AE714" s="454"/>
      <c r="AF714" s="454"/>
      <c r="AG714" s="454"/>
      <c r="AH714" s="454"/>
      <c r="AI714" s="454"/>
      <c r="AJ714" s="769"/>
    </row>
    <row r="715" spans="1:36" ht="14">
      <c r="A715" s="677"/>
      <c r="B715" s="677"/>
      <c r="C715" s="465"/>
      <c r="D715" s="465">
        <v>3</v>
      </c>
      <c r="E715" s="465" t="s">
        <v>199</v>
      </c>
      <c r="F715" s="125"/>
      <c r="G715" s="481"/>
      <c r="H715" s="125"/>
      <c r="I715" s="125" t="s">
        <v>116</v>
      </c>
      <c r="J715" s="452">
        <v>6297840</v>
      </c>
      <c r="K715" s="453"/>
      <c r="L715" s="217">
        <f>SUM(J715:K715)</f>
        <v>6297840</v>
      </c>
      <c r="M715" s="217">
        <v>1565000</v>
      </c>
      <c r="N715" s="217"/>
      <c r="O715" s="217"/>
      <c r="P715" s="217"/>
      <c r="Q715" s="217"/>
      <c r="R715" s="217"/>
      <c r="S715" s="217">
        <f t="shared" ref="S715" si="770">SUM(M715:R715)</f>
        <v>1565000</v>
      </c>
      <c r="T715" s="217">
        <f t="shared" ref="T715" si="771">S715+L715</f>
        <v>7862840</v>
      </c>
      <c r="U715" s="217"/>
      <c r="V715" s="217"/>
      <c r="W715" s="217"/>
      <c r="X715" s="217"/>
      <c r="Y715" s="217"/>
      <c r="Z715" s="217">
        <f>SUM(U715:Y715)</f>
        <v>0</v>
      </c>
      <c r="AA715" s="217">
        <f>Z715+T715</f>
        <v>7862840</v>
      </c>
      <c r="AB715" s="217"/>
      <c r="AC715" s="217"/>
      <c r="AD715" s="217"/>
      <c r="AE715" s="217"/>
      <c r="AF715" s="217"/>
      <c r="AG715" s="217">
        <f t="shared" ref="AG715" si="772">SUM(AB715:AF715)</f>
        <v>0</v>
      </c>
      <c r="AH715" s="217">
        <f t="shared" ref="AH715" si="773">AG715+AA715</f>
        <v>7862840</v>
      </c>
      <c r="AI715" s="217">
        <v>6368240</v>
      </c>
      <c r="AJ715" s="764">
        <f>AI715/AH715*100</f>
        <v>80.991600999130085</v>
      </c>
    </row>
    <row r="716" spans="1:36" ht="6.5" customHeight="1">
      <c r="A716" s="677"/>
      <c r="B716" s="677"/>
      <c r="C716" s="465"/>
      <c r="D716" s="465"/>
      <c r="E716" s="465"/>
      <c r="F716" s="125"/>
      <c r="G716" s="481"/>
      <c r="H716" s="125"/>
      <c r="I716" s="125"/>
      <c r="J716" s="452"/>
      <c r="K716" s="453"/>
      <c r="L716" s="454"/>
      <c r="M716" s="454"/>
      <c r="N716" s="454"/>
      <c r="O716" s="454"/>
      <c r="P716" s="454"/>
      <c r="Q716" s="454"/>
      <c r="R716" s="454"/>
      <c r="S716" s="454"/>
      <c r="T716" s="454"/>
      <c r="U716" s="454"/>
      <c r="V716" s="454"/>
      <c r="W716" s="454"/>
      <c r="X716" s="454"/>
      <c r="Y716" s="454"/>
      <c r="Z716" s="454"/>
      <c r="AA716" s="454"/>
      <c r="AB716" s="454"/>
      <c r="AC716" s="454"/>
      <c r="AD716" s="454"/>
      <c r="AE716" s="454"/>
      <c r="AF716" s="454"/>
      <c r="AG716" s="454"/>
      <c r="AH716" s="454"/>
      <c r="AI716" s="454"/>
      <c r="AJ716" s="769"/>
    </row>
    <row r="717" spans="1:36" ht="14">
      <c r="A717" s="677"/>
      <c r="B717" s="677"/>
      <c r="C717" s="465"/>
      <c r="D717" s="465"/>
      <c r="E717" s="465"/>
      <c r="F717" s="464"/>
      <c r="G717" s="166"/>
      <c r="H717" s="464"/>
      <c r="I717" s="166" t="s">
        <v>37</v>
      </c>
      <c r="J717" s="460">
        <f>SUM(J712:J716)</f>
        <v>6297840</v>
      </c>
      <c r="K717" s="461"/>
      <c r="L717" s="460">
        <f>SUM(L712:L716)</f>
        <v>6297840</v>
      </c>
      <c r="M717" s="460">
        <f t="shared" ref="M717:T717" si="774">SUM(M712:M716)</f>
        <v>1565000</v>
      </c>
      <c r="N717" s="460">
        <f t="shared" si="774"/>
        <v>0</v>
      </c>
      <c r="O717" s="460">
        <f t="shared" si="774"/>
        <v>0</v>
      </c>
      <c r="P717" s="460">
        <f t="shared" si="774"/>
        <v>0</v>
      </c>
      <c r="Q717" s="460">
        <f t="shared" si="774"/>
        <v>0</v>
      </c>
      <c r="R717" s="460">
        <f t="shared" si="774"/>
        <v>0</v>
      </c>
      <c r="S717" s="460">
        <f t="shared" si="774"/>
        <v>1565000</v>
      </c>
      <c r="T717" s="460">
        <f t="shared" si="774"/>
        <v>7862840</v>
      </c>
      <c r="U717" s="460"/>
      <c r="V717" s="460"/>
      <c r="W717" s="460"/>
      <c r="X717" s="460"/>
      <c r="Y717" s="460"/>
      <c r="Z717" s="460">
        <f t="shared" ref="Z717:AA717" si="775">SUM(Z712:Z716)</f>
        <v>0</v>
      </c>
      <c r="AA717" s="460">
        <f t="shared" si="775"/>
        <v>7862840</v>
      </c>
      <c r="AB717" s="460"/>
      <c r="AC717" s="460"/>
      <c r="AD717" s="460"/>
      <c r="AE717" s="460"/>
      <c r="AF717" s="460"/>
      <c r="AG717" s="460">
        <f t="shared" ref="AG717:AI717" si="776">SUM(AG712:AG716)</f>
        <v>0</v>
      </c>
      <c r="AH717" s="460">
        <f t="shared" si="776"/>
        <v>7862840</v>
      </c>
      <c r="AI717" s="460">
        <f t="shared" si="776"/>
        <v>6368240</v>
      </c>
      <c r="AJ717" s="771">
        <f>AI717/AH717*100</f>
        <v>80.991600999130085</v>
      </c>
    </row>
    <row r="718" spans="1:36" ht="14">
      <c r="A718" s="40"/>
      <c r="B718" s="40"/>
      <c r="C718" s="124"/>
      <c r="D718" s="124"/>
      <c r="E718" s="124"/>
      <c r="F718" s="41"/>
      <c r="G718" s="41"/>
      <c r="H718" s="66"/>
      <c r="I718" s="41"/>
      <c r="J718" s="126"/>
      <c r="K718" s="204"/>
      <c r="L718" s="205"/>
      <c r="M718" s="205"/>
      <c r="N718" s="205"/>
      <c r="O718" s="205"/>
      <c r="P718" s="205"/>
      <c r="Q718" s="205"/>
      <c r="R718" s="205"/>
      <c r="S718" s="205"/>
      <c r="T718" s="205"/>
      <c r="U718" s="205"/>
      <c r="V718" s="205"/>
      <c r="W718" s="205"/>
      <c r="X718" s="205"/>
      <c r="Y718" s="205"/>
      <c r="Z718" s="205"/>
      <c r="AA718" s="205"/>
      <c r="AB718" s="205"/>
      <c r="AC718" s="205"/>
      <c r="AD718" s="205"/>
      <c r="AE718" s="205"/>
      <c r="AF718" s="205"/>
      <c r="AG718" s="205"/>
      <c r="AH718" s="205"/>
      <c r="AI718" s="205"/>
      <c r="AJ718" s="747"/>
    </row>
    <row r="719" spans="1:36" ht="14">
      <c r="A719" s="677">
        <v>24</v>
      </c>
      <c r="B719" s="677"/>
      <c r="C719" s="465"/>
      <c r="D719" s="465"/>
      <c r="E719" s="465"/>
      <c r="F719" s="481" t="s">
        <v>56</v>
      </c>
      <c r="G719" s="481"/>
      <c r="H719" s="125"/>
      <c r="I719" s="66"/>
      <c r="J719" s="452"/>
      <c r="K719" s="453"/>
      <c r="L719" s="454"/>
      <c r="M719" s="454"/>
      <c r="N719" s="454"/>
      <c r="O719" s="454"/>
      <c r="P719" s="454"/>
      <c r="Q719" s="454"/>
      <c r="R719" s="454"/>
      <c r="S719" s="454"/>
      <c r="T719" s="454"/>
      <c r="U719" s="454"/>
      <c r="V719" s="454"/>
      <c r="W719" s="454"/>
      <c r="X719" s="454"/>
      <c r="Y719" s="454"/>
      <c r="Z719" s="454"/>
      <c r="AA719" s="454"/>
      <c r="AB719" s="454"/>
      <c r="AC719" s="454"/>
      <c r="AD719" s="454"/>
      <c r="AE719" s="454"/>
      <c r="AF719" s="454"/>
      <c r="AG719" s="454"/>
      <c r="AH719" s="454"/>
      <c r="AI719" s="454"/>
      <c r="AJ719" s="769"/>
    </row>
    <row r="720" spans="1:36" ht="14">
      <c r="A720" s="677"/>
      <c r="B720" s="677">
        <v>1</v>
      </c>
      <c r="C720" s="465"/>
      <c r="D720" s="465"/>
      <c r="E720" s="465"/>
      <c r="F720" s="481"/>
      <c r="G720" s="481" t="s">
        <v>339</v>
      </c>
      <c r="H720" s="125"/>
      <c r="I720" s="66"/>
      <c r="J720" s="452"/>
      <c r="K720" s="453"/>
      <c r="L720" s="454"/>
      <c r="M720" s="454"/>
      <c r="N720" s="454"/>
      <c r="O720" s="454"/>
      <c r="P720" s="454"/>
      <c r="Q720" s="454"/>
      <c r="R720" s="454"/>
      <c r="S720" s="454"/>
      <c r="T720" s="454"/>
      <c r="U720" s="454"/>
      <c r="V720" s="454"/>
      <c r="W720" s="454"/>
      <c r="X720" s="454"/>
      <c r="Y720" s="454"/>
      <c r="Z720" s="454"/>
      <c r="AA720" s="454"/>
      <c r="AB720" s="454"/>
      <c r="AC720" s="454"/>
      <c r="AD720" s="454"/>
      <c r="AE720" s="454"/>
      <c r="AF720" s="454"/>
      <c r="AG720" s="454"/>
      <c r="AH720" s="454"/>
      <c r="AI720" s="454"/>
      <c r="AJ720" s="769"/>
    </row>
    <row r="721" spans="1:36" ht="14">
      <c r="A721" s="677"/>
      <c r="B721" s="677"/>
      <c r="C721" s="465">
        <v>1</v>
      </c>
      <c r="D721" s="465"/>
      <c r="E721" s="465"/>
      <c r="F721" s="125"/>
      <c r="G721" s="481"/>
      <c r="H721" s="66" t="s">
        <v>35</v>
      </c>
      <c r="I721" s="125"/>
      <c r="J721" s="452"/>
      <c r="K721" s="453"/>
      <c r="L721" s="454"/>
      <c r="M721" s="454"/>
      <c r="N721" s="454"/>
      <c r="O721" s="454"/>
      <c r="P721" s="454"/>
      <c r="Q721" s="454"/>
      <c r="R721" s="454"/>
      <c r="S721" s="454"/>
      <c r="T721" s="454"/>
      <c r="U721" s="454"/>
      <c r="V721" s="454"/>
      <c r="W721" s="454"/>
      <c r="X721" s="454"/>
      <c r="Y721" s="454"/>
      <c r="Z721" s="454"/>
      <c r="AA721" s="454"/>
      <c r="AB721" s="454"/>
      <c r="AC721" s="454"/>
      <c r="AD721" s="454"/>
      <c r="AE721" s="454"/>
      <c r="AF721" s="454"/>
      <c r="AG721" s="454"/>
      <c r="AH721" s="454"/>
      <c r="AI721" s="454"/>
      <c r="AJ721" s="769"/>
    </row>
    <row r="722" spans="1:36" ht="14">
      <c r="A722" s="677"/>
      <c r="B722" s="677"/>
      <c r="C722" s="465"/>
      <c r="D722" s="465">
        <v>3</v>
      </c>
      <c r="E722" s="465" t="s">
        <v>199</v>
      </c>
      <c r="F722" s="125"/>
      <c r="G722" s="481"/>
      <c r="H722" s="125"/>
      <c r="I722" s="66" t="s">
        <v>116</v>
      </c>
      <c r="J722" s="452">
        <v>124280635</v>
      </c>
      <c r="K722" s="453"/>
      <c r="L722" s="217">
        <f>SUM(J722:K722)</f>
        <v>124280635</v>
      </c>
      <c r="M722" s="217"/>
      <c r="N722" s="217"/>
      <c r="O722" s="217"/>
      <c r="P722" s="217"/>
      <c r="Q722" s="217"/>
      <c r="R722" s="217"/>
      <c r="S722" s="217">
        <f t="shared" ref="S722" si="777">SUM(M722:R722)</f>
        <v>0</v>
      </c>
      <c r="T722" s="217">
        <f t="shared" ref="T722" si="778">S722+L722</f>
        <v>124280635</v>
      </c>
      <c r="U722" s="217"/>
      <c r="V722" s="217"/>
      <c r="W722" s="217"/>
      <c r="X722" s="217"/>
      <c r="Y722" s="217"/>
      <c r="Z722" s="217">
        <f>SUM(U722:Y722)</f>
        <v>0</v>
      </c>
      <c r="AA722" s="217">
        <f>Z722+T722</f>
        <v>124280635</v>
      </c>
      <c r="AB722" s="217"/>
      <c r="AC722" s="217"/>
      <c r="AD722" s="217"/>
      <c r="AE722" s="217">
        <v>20413365</v>
      </c>
      <c r="AF722" s="217"/>
      <c r="AG722" s="217">
        <f t="shared" ref="AG722" si="779">SUM(AB722:AF722)</f>
        <v>20413365</v>
      </c>
      <c r="AH722" s="217">
        <f t="shared" ref="AH722" si="780">AG722+AA722</f>
        <v>144694000</v>
      </c>
      <c r="AI722" s="217">
        <v>144694000</v>
      </c>
      <c r="AJ722" s="764">
        <f>AI722/AH722*100</f>
        <v>100</v>
      </c>
    </row>
    <row r="723" spans="1:36" ht="14">
      <c r="A723" s="677"/>
      <c r="B723" s="677"/>
      <c r="C723" s="465"/>
      <c r="D723" s="465"/>
      <c r="E723" s="465"/>
      <c r="F723" s="125"/>
      <c r="G723" s="481"/>
      <c r="H723" s="125"/>
      <c r="I723" s="66"/>
      <c r="J723" s="452"/>
      <c r="K723" s="453"/>
      <c r="L723" s="217"/>
      <c r="M723" s="217"/>
      <c r="N723" s="217"/>
      <c r="O723" s="217"/>
      <c r="P723" s="217"/>
      <c r="Q723" s="217"/>
      <c r="R723" s="217"/>
      <c r="S723" s="217"/>
      <c r="T723" s="217"/>
      <c r="U723" s="217"/>
      <c r="V723" s="217"/>
      <c r="W723" s="217"/>
      <c r="X723" s="217"/>
      <c r="Y723" s="217"/>
      <c r="Z723" s="217"/>
      <c r="AA723" s="217"/>
      <c r="AB723" s="217"/>
      <c r="AC723" s="217"/>
      <c r="AD723" s="217"/>
      <c r="AE723" s="217"/>
      <c r="AF723" s="217"/>
      <c r="AG723" s="217"/>
      <c r="AH723" s="217"/>
      <c r="AI723" s="217"/>
      <c r="AJ723" s="764"/>
    </row>
    <row r="724" spans="1:36" ht="14">
      <c r="A724" s="40"/>
      <c r="B724" s="40"/>
      <c r="C724" s="124"/>
      <c r="D724" s="124"/>
      <c r="E724" s="124"/>
      <c r="F724" s="173"/>
      <c r="G724" s="64"/>
      <c r="H724" s="65"/>
      <c r="I724" s="64" t="s">
        <v>38</v>
      </c>
      <c r="J724" s="333">
        <f>SUM(J718:J723)</f>
        <v>124280635</v>
      </c>
      <c r="K724" s="457"/>
      <c r="L724" s="458">
        <f>SUM(L718:L723)</f>
        <v>124280635</v>
      </c>
      <c r="M724" s="458">
        <f t="shared" ref="M724:T724" si="781">SUM(M718:M723)</f>
        <v>0</v>
      </c>
      <c r="N724" s="458">
        <f t="shared" si="781"/>
        <v>0</v>
      </c>
      <c r="O724" s="458">
        <f t="shared" si="781"/>
        <v>0</v>
      </c>
      <c r="P724" s="458">
        <f t="shared" si="781"/>
        <v>0</v>
      </c>
      <c r="Q724" s="458">
        <f t="shared" si="781"/>
        <v>0</v>
      </c>
      <c r="R724" s="458">
        <f t="shared" si="781"/>
        <v>0</v>
      </c>
      <c r="S724" s="458">
        <f t="shared" si="781"/>
        <v>0</v>
      </c>
      <c r="T724" s="458">
        <f t="shared" si="781"/>
        <v>124280635</v>
      </c>
      <c r="U724" s="458"/>
      <c r="V724" s="458"/>
      <c r="W724" s="458"/>
      <c r="X724" s="458"/>
      <c r="Y724" s="458"/>
      <c r="Z724" s="458">
        <f t="shared" ref="Z724:AA724" si="782">SUM(Z718:Z723)</f>
        <v>0</v>
      </c>
      <c r="AA724" s="458">
        <f t="shared" si="782"/>
        <v>124280635</v>
      </c>
      <c r="AB724" s="458"/>
      <c r="AC724" s="458"/>
      <c r="AD724" s="458"/>
      <c r="AE724" s="458">
        <f t="shared" ref="AE724:AI724" si="783">SUM(AE718:AE723)</f>
        <v>20413365</v>
      </c>
      <c r="AF724" s="458"/>
      <c r="AG724" s="458">
        <f t="shared" si="783"/>
        <v>20413365</v>
      </c>
      <c r="AH724" s="458">
        <f t="shared" si="783"/>
        <v>144694000</v>
      </c>
      <c r="AI724" s="458">
        <f t="shared" si="783"/>
        <v>144694000</v>
      </c>
      <c r="AJ724" s="770">
        <f>AI724/AH724*100</f>
        <v>100</v>
      </c>
    </row>
    <row r="725" spans="1:36" ht="14">
      <c r="A725" s="40"/>
      <c r="B725" s="40"/>
      <c r="C725" s="124"/>
      <c r="D725" s="124"/>
      <c r="E725" s="124"/>
      <c r="F725" s="41"/>
      <c r="G725" s="41"/>
      <c r="H725" s="66"/>
      <c r="I725" s="41"/>
      <c r="J725" s="126"/>
      <c r="K725" s="204"/>
      <c r="L725" s="205"/>
      <c r="M725" s="205"/>
      <c r="N725" s="205"/>
      <c r="O725" s="205"/>
      <c r="P725" s="205"/>
      <c r="Q725" s="205"/>
      <c r="R725" s="205"/>
      <c r="S725" s="205"/>
      <c r="T725" s="205"/>
      <c r="U725" s="205"/>
      <c r="V725" s="205"/>
      <c r="W725" s="205"/>
      <c r="X725" s="205"/>
      <c r="Y725" s="205"/>
      <c r="Z725" s="205"/>
      <c r="AA725" s="205"/>
      <c r="AB725" s="205"/>
      <c r="AC725" s="205"/>
      <c r="AD725" s="205"/>
      <c r="AE725" s="205"/>
      <c r="AF725" s="205"/>
      <c r="AG725" s="205"/>
      <c r="AH725" s="205"/>
      <c r="AI725" s="205"/>
      <c r="AJ725" s="747"/>
    </row>
    <row r="726" spans="1:36" ht="14">
      <c r="A726" s="677"/>
      <c r="B726" s="677">
        <v>2</v>
      </c>
      <c r="C726" s="465"/>
      <c r="D726" s="465"/>
      <c r="E726" s="465"/>
      <c r="F726" s="481"/>
      <c r="G726" s="481" t="s">
        <v>613</v>
      </c>
      <c r="H726" s="125"/>
      <c r="I726" s="66"/>
      <c r="J726" s="452"/>
      <c r="K726" s="453"/>
      <c r="L726" s="454"/>
      <c r="M726" s="454"/>
      <c r="N726" s="454"/>
      <c r="O726" s="454"/>
      <c r="P726" s="454"/>
      <c r="Q726" s="454"/>
      <c r="R726" s="454"/>
      <c r="S726" s="454"/>
      <c r="T726" s="454"/>
      <c r="U726" s="454"/>
      <c r="V726" s="454"/>
      <c r="W726" s="454"/>
      <c r="X726" s="454"/>
      <c r="Y726" s="454"/>
      <c r="Z726" s="454"/>
      <c r="AA726" s="454"/>
      <c r="AB726" s="454"/>
      <c r="AC726" s="454"/>
      <c r="AD726" s="454"/>
      <c r="AE726" s="454"/>
      <c r="AF726" s="454"/>
      <c r="AG726" s="454"/>
      <c r="AH726" s="454"/>
      <c r="AI726" s="454"/>
      <c r="AJ726" s="769"/>
    </row>
    <row r="727" spans="1:36" ht="14">
      <c r="A727" s="677"/>
      <c r="B727" s="677"/>
      <c r="C727" s="465">
        <v>1</v>
      </c>
      <c r="D727" s="465"/>
      <c r="E727" s="465"/>
      <c r="F727" s="125"/>
      <c r="G727" s="481"/>
      <c r="H727" s="66" t="s">
        <v>35</v>
      </c>
      <c r="I727" s="125"/>
      <c r="J727" s="452"/>
      <c r="K727" s="453"/>
      <c r="L727" s="454"/>
      <c r="M727" s="454"/>
      <c r="N727" s="454"/>
      <c r="O727" s="454"/>
      <c r="P727" s="454"/>
      <c r="Q727" s="454"/>
      <c r="R727" s="454"/>
      <c r="S727" s="454"/>
      <c r="T727" s="454"/>
      <c r="U727" s="454"/>
      <c r="V727" s="454"/>
      <c r="W727" s="454"/>
      <c r="X727" s="454"/>
      <c r="Y727" s="454"/>
      <c r="Z727" s="454"/>
      <c r="AA727" s="454"/>
      <c r="AB727" s="454"/>
      <c r="AC727" s="454"/>
      <c r="AD727" s="454"/>
      <c r="AE727" s="454"/>
      <c r="AF727" s="454"/>
      <c r="AG727" s="454"/>
      <c r="AH727" s="454"/>
      <c r="AI727" s="454"/>
      <c r="AJ727" s="769"/>
    </row>
    <row r="728" spans="1:36" ht="14">
      <c r="A728" s="677"/>
      <c r="B728" s="677"/>
      <c r="C728" s="465"/>
      <c r="D728" s="465">
        <v>3</v>
      </c>
      <c r="E728" s="465" t="s">
        <v>199</v>
      </c>
      <c r="F728" s="125"/>
      <c r="G728" s="481"/>
      <c r="H728" s="125"/>
      <c r="I728" s="66" t="s">
        <v>116</v>
      </c>
      <c r="J728" s="452">
        <v>124280635</v>
      </c>
      <c r="K728" s="453"/>
      <c r="L728" s="217"/>
      <c r="M728" s="217"/>
      <c r="N728" s="217"/>
      <c r="O728" s="217"/>
      <c r="P728" s="217"/>
      <c r="Q728" s="217">
        <v>3287000</v>
      </c>
      <c r="R728" s="217"/>
      <c r="S728" s="217">
        <f t="shared" ref="S728" si="784">SUM(M728:R728)</f>
        <v>3287000</v>
      </c>
      <c r="T728" s="217">
        <f t="shared" ref="T728" si="785">S728+L728</f>
        <v>3287000</v>
      </c>
      <c r="U728" s="217"/>
      <c r="V728" s="217"/>
      <c r="W728" s="217"/>
      <c r="X728" s="217">
        <v>8917000</v>
      </c>
      <c r="Y728" s="217"/>
      <c r="Z728" s="217">
        <f>SUM(U728:Y728)</f>
        <v>8917000</v>
      </c>
      <c r="AA728" s="217">
        <f>Z728+T728</f>
        <v>12204000</v>
      </c>
      <c r="AB728" s="217"/>
      <c r="AC728" s="217"/>
      <c r="AD728" s="217"/>
      <c r="AE728" s="217">
        <v>5630000</v>
      </c>
      <c r="AF728" s="217"/>
      <c r="AG728" s="217">
        <f t="shared" ref="AG728" si="786">SUM(AB728:AF728)</f>
        <v>5630000</v>
      </c>
      <c r="AH728" s="217">
        <f t="shared" ref="AH728" si="787">AG728+AA728</f>
        <v>17834000</v>
      </c>
      <c r="AI728" s="217">
        <v>12204000</v>
      </c>
      <c r="AJ728" s="764">
        <f>AI728/AH728*100</f>
        <v>68.431086688348103</v>
      </c>
    </row>
    <row r="729" spans="1:36" ht="14">
      <c r="A729" s="677"/>
      <c r="B729" s="677"/>
      <c r="C729" s="465"/>
      <c r="D729" s="465"/>
      <c r="E729" s="465"/>
      <c r="F729" s="125"/>
      <c r="G729" s="481"/>
      <c r="H729" s="125"/>
      <c r="I729" s="66"/>
      <c r="J729" s="452"/>
      <c r="K729" s="453"/>
      <c r="L729" s="217"/>
      <c r="M729" s="217"/>
      <c r="N729" s="217"/>
      <c r="O729" s="217"/>
      <c r="P729" s="217"/>
      <c r="Q729" s="217"/>
      <c r="R729" s="217"/>
      <c r="S729" s="217"/>
      <c r="T729" s="217"/>
      <c r="U729" s="217"/>
      <c r="V729" s="217"/>
      <c r="W729" s="217"/>
      <c r="X729" s="217"/>
      <c r="Y729" s="217"/>
      <c r="Z729" s="217"/>
      <c r="AA729" s="217"/>
      <c r="AB729" s="217"/>
      <c r="AC729" s="217"/>
      <c r="AD729" s="217"/>
      <c r="AE729" s="217"/>
      <c r="AF729" s="217"/>
      <c r="AG729" s="217"/>
      <c r="AH729" s="217"/>
      <c r="AI729" s="217"/>
      <c r="AJ729" s="764"/>
    </row>
    <row r="730" spans="1:36" ht="14">
      <c r="A730" s="40"/>
      <c r="B730" s="40"/>
      <c r="C730" s="124"/>
      <c r="D730" s="124"/>
      <c r="E730" s="124"/>
      <c r="F730" s="173"/>
      <c r="G730" s="64"/>
      <c r="H730" s="65"/>
      <c r="I730" s="64" t="s">
        <v>38</v>
      </c>
      <c r="J730" s="333">
        <f>SUM(J723:J729)</f>
        <v>248561270</v>
      </c>
      <c r="K730" s="457"/>
      <c r="L730" s="458"/>
      <c r="M730" s="458"/>
      <c r="N730" s="333"/>
      <c r="O730" s="333"/>
      <c r="P730" s="333"/>
      <c r="Q730" s="458">
        <f>SUM(Q728:Q729)</f>
        <v>3287000</v>
      </c>
      <c r="R730" s="333"/>
      <c r="S730" s="458">
        <f>SUM(S728:S729)</f>
        <v>3287000</v>
      </c>
      <c r="T730" s="458">
        <f>SUM(T728:T729)</f>
        <v>3287000</v>
      </c>
      <c r="U730" s="333"/>
      <c r="V730" s="333"/>
      <c r="W730" s="333"/>
      <c r="X730" s="458">
        <f>SUM(X728:X729)</f>
        <v>8917000</v>
      </c>
      <c r="Y730" s="333"/>
      <c r="Z730" s="458">
        <f>SUM(Z728:Z729)</f>
        <v>8917000</v>
      </c>
      <c r="AA730" s="458">
        <f>SUM(AA728:AA729)</f>
        <v>12204000</v>
      </c>
      <c r="AB730" s="333"/>
      <c r="AC730" s="333"/>
      <c r="AD730" s="333"/>
      <c r="AE730" s="458">
        <f>SUM(AE728:AE729)</f>
        <v>5630000</v>
      </c>
      <c r="AF730" s="333"/>
      <c r="AG730" s="458">
        <f>SUM(AG728:AG729)</f>
        <v>5630000</v>
      </c>
      <c r="AH730" s="458">
        <f>SUM(AH728:AH729)</f>
        <v>17834000</v>
      </c>
      <c r="AI730" s="458">
        <f>SUM(AI728:AI729)</f>
        <v>12204000</v>
      </c>
      <c r="AJ730" s="770">
        <f>AI730/AH730*100</f>
        <v>68.431086688348103</v>
      </c>
    </row>
    <row r="731" spans="1:36" ht="14.5" customHeight="1">
      <c r="A731" s="40"/>
      <c r="B731" s="40"/>
      <c r="C731" s="124"/>
      <c r="D731" s="124"/>
      <c r="E731" s="124"/>
      <c r="F731" s="41"/>
      <c r="G731" s="41"/>
      <c r="H731" s="66"/>
      <c r="I731" s="41"/>
      <c r="J731" s="126"/>
      <c r="K731" s="204"/>
      <c r="L731" s="205"/>
      <c r="M731" s="205"/>
      <c r="N731" s="205"/>
      <c r="O731" s="205"/>
      <c r="P731" s="205"/>
      <c r="Q731" s="205"/>
      <c r="R731" s="205"/>
      <c r="S731" s="205"/>
      <c r="T731" s="205"/>
      <c r="U731" s="205"/>
      <c r="V731" s="205"/>
      <c r="W731" s="205"/>
      <c r="X731" s="205"/>
      <c r="Y731" s="205"/>
      <c r="Z731" s="205"/>
      <c r="AA731" s="205"/>
      <c r="AB731" s="205"/>
      <c r="AC731" s="205"/>
      <c r="AD731" s="205"/>
      <c r="AE731" s="205"/>
      <c r="AF731" s="205"/>
      <c r="AG731" s="205"/>
      <c r="AH731" s="205"/>
      <c r="AI731" s="205"/>
      <c r="AJ731" s="747"/>
    </row>
    <row r="732" spans="1:36" ht="16.5" customHeight="1">
      <c r="A732" s="677"/>
      <c r="B732" s="677">
        <v>3</v>
      </c>
      <c r="C732" s="465"/>
      <c r="D732" s="465"/>
      <c r="E732" s="465"/>
      <c r="F732" s="481"/>
      <c r="G732" s="481" t="s">
        <v>545</v>
      </c>
      <c r="H732" s="125"/>
      <c r="I732" s="66"/>
      <c r="J732" s="452"/>
      <c r="K732" s="453"/>
      <c r="L732" s="454"/>
      <c r="M732" s="454"/>
      <c r="N732" s="454"/>
      <c r="O732" s="454"/>
      <c r="P732" s="454"/>
      <c r="Q732" s="454"/>
      <c r="R732" s="454"/>
      <c r="S732" s="454"/>
      <c r="T732" s="454"/>
      <c r="U732" s="454"/>
      <c r="V732" s="454"/>
      <c r="W732" s="454"/>
      <c r="X732" s="454"/>
      <c r="Y732" s="454"/>
      <c r="Z732" s="454"/>
      <c r="AA732" s="454"/>
      <c r="AB732" s="454"/>
      <c r="AC732" s="454"/>
      <c r="AD732" s="454"/>
      <c r="AE732" s="454"/>
      <c r="AF732" s="454"/>
      <c r="AG732" s="454"/>
      <c r="AH732" s="454"/>
      <c r="AI732" s="454"/>
      <c r="AJ732" s="769"/>
    </row>
    <row r="733" spans="1:36" ht="16.5" customHeight="1">
      <c r="A733" s="677"/>
      <c r="B733" s="677"/>
      <c r="C733" s="465">
        <v>1</v>
      </c>
      <c r="D733" s="465"/>
      <c r="E733" s="465"/>
      <c r="F733" s="125"/>
      <c r="G733" s="481"/>
      <c r="H733" s="66" t="s">
        <v>35</v>
      </c>
      <c r="I733" s="125"/>
      <c r="J733" s="452"/>
      <c r="K733" s="453"/>
      <c r="L733" s="454"/>
      <c r="M733" s="454"/>
      <c r="N733" s="454"/>
      <c r="O733" s="454"/>
      <c r="P733" s="454"/>
      <c r="Q733" s="454"/>
      <c r="R733" s="454"/>
      <c r="S733" s="454"/>
      <c r="T733" s="454"/>
      <c r="U733" s="454"/>
      <c r="V733" s="454"/>
      <c r="W733" s="454"/>
      <c r="X733" s="454"/>
      <c r="Y733" s="454"/>
      <c r="Z733" s="454"/>
      <c r="AA733" s="454"/>
      <c r="AB733" s="454"/>
      <c r="AC733" s="454"/>
      <c r="AD733" s="454"/>
      <c r="AE733" s="454"/>
      <c r="AF733" s="454"/>
      <c r="AG733" s="454"/>
      <c r="AH733" s="454"/>
      <c r="AI733" s="454"/>
      <c r="AJ733" s="769"/>
    </row>
    <row r="734" spans="1:36" ht="16.5" customHeight="1">
      <c r="A734" s="677"/>
      <c r="B734" s="677"/>
      <c r="C734" s="465"/>
      <c r="D734" s="465">
        <v>3</v>
      </c>
      <c r="E734" s="465" t="s">
        <v>199</v>
      </c>
      <c r="F734" s="125"/>
      <c r="G734" s="481"/>
      <c r="H734" s="125"/>
      <c r="I734" s="66" t="s">
        <v>116</v>
      </c>
      <c r="J734" s="452">
        <v>124280635</v>
      </c>
      <c r="K734" s="453"/>
      <c r="L734" s="217"/>
      <c r="M734" s="217">
        <v>8410000</v>
      </c>
      <c r="N734" s="217"/>
      <c r="O734" s="217"/>
      <c r="P734" s="217"/>
      <c r="Q734" s="217">
        <v>4027000</v>
      </c>
      <c r="R734" s="217"/>
      <c r="S734" s="217">
        <f t="shared" ref="S734" si="788">SUM(M734:R734)</f>
        <v>12437000</v>
      </c>
      <c r="T734" s="217">
        <f t="shared" ref="T734" si="789">S734+L734</f>
        <v>12437000</v>
      </c>
      <c r="U734" s="217"/>
      <c r="V734" s="217"/>
      <c r="W734" s="217"/>
      <c r="X734" s="217"/>
      <c r="Y734" s="217"/>
      <c r="Z734" s="217">
        <f>SUM(U734:Y734)</f>
        <v>0</v>
      </c>
      <c r="AA734" s="217">
        <f>Z734+T734</f>
        <v>12437000</v>
      </c>
      <c r="AB734" s="217"/>
      <c r="AC734" s="217"/>
      <c r="AD734" s="217"/>
      <c r="AE734" s="217"/>
      <c r="AF734" s="217"/>
      <c r="AG734" s="217">
        <f t="shared" ref="AG734" si="790">SUM(AB734:AF734)</f>
        <v>0</v>
      </c>
      <c r="AH734" s="217">
        <f t="shared" ref="AH734" si="791">AG734+AA734</f>
        <v>12437000</v>
      </c>
      <c r="AI734" s="217">
        <v>12437000</v>
      </c>
      <c r="AJ734" s="764">
        <f>AI734/AH734*100</f>
        <v>100</v>
      </c>
    </row>
    <row r="735" spans="1:36" ht="16.5" customHeight="1">
      <c r="A735" s="677"/>
      <c r="B735" s="677"/>
      <c r="C735" s="465"/>
      <c r="D735" s="465"/>
      <c r="E735" s="465"/>
      <c r="F735" s="125"/>
      <c r="G735" s="481"/>
      <c r="H735" s="125"/>
      <c r="I735" s="66"/>
      <c r="J735" s="452"/>
      <c r="K735" s="453"/>
      <c r="L735" s="217"/>
      <c r="M735" s="217"/>
      <c r="N735" s="217"/>
      <c r="O735" s="217"/>
      <c r="P735" s="217"/>
      <c r="Q735" s="217"/>
      <c r="R735" s="217"/>
      <c r="S735" s="217"/>
      <c r="T735" s="217"/>
      <c r="U735" s="217"/>
      <c r="V735" s="217"/>
      <c r="W735" s="217"/>
      <c r="X735" s="217"/>
      <c r="Y735" s="217"/>
      <c r="Z735" s="217"/>
      <c r="AA735" s="217"/>
      <c r="AB735" s="217"/>
      <c r="AC735" s="217"/>
      <c r="AD735" s="217"/>
      <c r="AE735" s="217"/>
      <c r="AF735" s="217"/>
      <c r="AG735" s="217"/>
      <c r="AH735" s="217"/>
      <c r="AI735" s="217"/>
      <c r="AJ735" s="764"/>
    </row>
    <row r="736" spans="1:36" ht="14.5" customHeight="1">
      <c r="A736" s="40"/>
      <c r="B736" s="40"/>
      <c r="C736" s="124"/>
      <c r="D736" s="124"/>
      <c r="E736" s="124"/>
      <c r="F736" s="173"/>
      <c r="G736" s="64"/>
      <c r="H736" s="65"/>
      <c r="I736" s="64" t="s">
        <v>38</v>
      </c>
      <c r="J736" s="333">
        <f>SUM(J729:J735)</f>
        <v>372841905</v>
      </c>
      <c r="K736" s="457"/>
      <c r="L736" s="458"/>
      <c r="M736" s="458">
        <f>SUM(M734:M735)</f>
        <v>8410000</v>
      </c>
      <c r="N736" s="458">
        <f t="shared" ref="N736:T736" si="792">SUM(N734:N735)</f>
        <v>0</v>
      </c>
      <c r="O736" s="458">
        <f t="shared" si="792"/>
        <v>0</v>
      </c>
      <c r="P736" s="458">
        <f t="shared" si="792"/>
        <v>0</v>
      </c>
      <c r="Q736" s="458">
        <f t="shared" si="792"/>
        <v>4027000</v>
      </c>
      <c r="R736" s="458">
        <f t="shared" si="792"/>
        <v>0</v>
      </c>
      <c r="S736" s="458">
        <f t="shared" si="792"/>
        <v>12437000</v>
      </c>
      <c r="T736" s="458">
        <f t="shared" si="792"/>
        <v>12437000</v>
      </c>
      <c r="U736" s="458"/>
      <c r="V736" s="458"/>
      <c r="W736" s="458"/>
      <c r="X736" s="458"/>
      <c r="Y736" s="458"/>
      <c r="Z736" s="458">
        <f t="shared" ref="Z736:AA736" si="793">SUM(Z734:Z735)</f>
        <v>0</v>
      </c>
      <c r="AA736" s="458">
        <f t="shared" si="793"/>
        <v>12437000</v>
      </c>
      <c r="AB736" s="458"/>
      <c r="AC736" s="458"/>
      <c r="AD736" s="458"/>
      <c r="AE736" s="458"/>
      <c r="AF736" s="458"/>
      <c r="AG736" s="458">
        <f t="shared" ref="AG736:AI736" si="794">SUM(AG734:AG735)</f>
        <v>0</v>
      </c>
      <c r="AH736" s="458">
        <f t="shared" si="794"/>
        <v>12437000</v>
      </c>
      <c r="AI736" s="458">
        <f t="shared" si="794"/>
        <v>12437000</v>
      </c>
      <c r="AJ736" s="770">
        <f>AI736/AH736*100</f>
        <v>100</v>
      </c>
    </row>
    <row r="737" spans="1:36" ht="6.5" customHeight="1">
      <c r="A737" s="40"/>
      <c r="B737" s="40"/>
      <c r="C737" s="124"/>
      <c r="D737" s="124"/>
      <c r="E737" s="124"/>
      <c r="F737" s="41"/>
      <c r="G737" s="41"/>
      <c r="H737" s="66"/>
      <c r="I737" s="41"/>
      <c r="J737" s="126"/>
      <c r="K737" s="204"/>
      <c r="L737" s="205"/>
      <c r="M737" s="205"/>
      <c r="N737" s="205"/>
      <c r="O737" s="205"/>
      <c r="P737" s="205"/>
      <c r="Q737" s="205"/>
      <c r="R737" s="205"/>
      <c r="S737" s="205"/>
      <c r="T737" s="205"/>
      <c r="U737" s="205"/>
      <c r="V737" s="205"/>
      <c r="W737" s="205"/>
      <c r="X737" s="205"/>
      <c r="Y737" s="205"/>
      <c r="Z737" s="205"/>
      <c r="AA737" s="205"/>
      <c r="AB737" s="205"/>
      <c r="AC737" s="205"/>
      <c r="AD737" s="205"/>
      <c r="AE737" s="205"/>
      <c r="AF737" s="205"/>
      <c r="AG737" s="205"/>
      <c r="AH737" s="205"/>
      <c r="AI737" s="205"/>
      <c r="AJ737" s="747"/>
    </row>
    <row r="738" spans="1:36" ht="16.5" customHeight="1">
      <c r="A738" s="677"/>
      <c r="B738" s="677">
        <v>4</v>
      </c>
      <c r="C738" s="465"/>
      <c r="D738" s="465"/>
      <c r="E738" s="465"/>
      <c r="F738" s="481"/>
      <c r="G738" s="481" t="s">
        <v>546</v>
      </c>
      <c r="H738" s="125"/>
      <c r="I738" s="66"/>
      <c r="J738" s="452"/>
      <c r="K738" s="453"/>
      <c r="L738" s="454"/>
      <c r="M738" s="454"/>
      <c r="N738" s="454"/>
      <c r="O738" s="454"/>
      <c r="P738" s="454"/>
      <c r="Q738" s="454"/>
      <c r="R738" s="454"/>
      <c r="S738" s="454"/>
      <c r="T738" s="454"/>
      <c r="U738" s="454"/>
      <c r="V738" s="454"/>
      <c r="W738" s="454"/>
      <c r="X738" s="454"/>
      <c r="Y738" s="454"/>
      <c r="Z738" s="454"/>
      <c r="AA738" s="454"/>
      <c r="AB738" s="454"/>
      <c r="AC738" s="454"/>
      <c r="AD738" s="454"/>
      <c r="AE738" s="454"/>
      <c r="AF738" s="454"/>
      <c r="AG738" s="454"/>
      <c r="AH738" s="454"/>
      <c r="AI738" s="454"/>
      <c r="AJ738" s="769"/>
    </row>
    <row r="739" spans="1:36" ht="16.5" customHeight="1">
      <c r="A739" s="677"/>
      <c r="B739" s="677"/>
      <c r="C739" s="465">
        <v>1</v>
      </c>
      <c r="D739" s="465"/>
      <c r="E739" s="465"/>
      <c r="F739" s="125"/>
      <c r="G739" s="481"/>
      <c r="H739" s="66" t="s">
        <v>35</v>
      </c>
      <c r="I739" s="125"/>
      <c r="J739" s="452"/>
      <c r="K739" s="453"/>
      <c r="L739" s="454"/>
      <c r="M739" s="454"/>
      <c r="N739" s="454"/>
      <c r="O739" s="454"/>
      <c r="P739" s="454"/>
      <c r="Q739" s="454"/>
      <c r="R739" s="454"/>
      <c r="S739" s="454"/>
      <c r="T739" s="454"/>
      <c r="U739" s="454"/>
      <c r="V739" s="454"/>
      <c r="W739" s="454"/>
      <c r="X739" s="454"/>
      <c r="Y739" s="454"/>
      <c r="Z739" s="454"/>
      <c r="AA739" s="454"/>
      <c r="AB739" s="454"/>
      <c r="AC739" s="454"/>
      <c r="AD739" s="454"/>
      <c r="AE739" s="454"/>
      <c r="AF739" s="454"/>
      <c r="AG739" s="454"/>
      <c r="AH739" s="454"/>
      <c r="AI739" s="454"/>
      <c r="AJ739" s="769"/>
    </row>
    <row r="740" spans="1:36" ht="16.5" customHeight="1">
      <c r="A740" s="677"/>
      <c r="B740" s="677"/>
      <c r="C740" s="465"/>
      <c r="D740" s="465">
        <v>3</v>
      </c>
      <c r="E740" s="465" t="s">
        <v>199</v>
      </c>
      <c r="F740" s="125"/>
      <c r="G740" s="481"/>
      <c r="H740" s="125"/>
      <c r="I740" s="66" t="s">
        <v>116</v>
      </c>
      <c r="J740" s="452">
        <v>124280635</v>
      </c>
      <c r="K740" s="453"/>
      <c r="L740" s="217"/>
      <c r="M740" s="217">
        <v>727000</v>
      </c>
      <c r="N740" s="217"/>
      <c r="O740" s="217"/>
      <c r="P740" s="217"/>
      <c r="Q740" s="217">
        <v>4000</v>
      </c>
      <c r="R740" s="217"/>
      <c r="S740" s="217">
        <f t="shared" ref="S740" si="795">SUM(M740:R740)</f>
        <v>731000</v>
      </c>
      <c r="T740" s="217">
        <f t="shared" ref="T740" si="796">S740+L740</f>
        <v>731000</v>
      </c>
      <c r="U740" s="217"/>
      <c r="V740" s="217"/>
      <c r="W740" s="217"/>
      <c r="X740" s="217"/>
      <c r="Y740" s="217"/>
      <c r="Z740" s="217">
        <f>SUM(U740:Y740)</f>
        <v>0</v>
      </c>
      <c r="AA740" s="217">
        <f>Z740+T740</f>
        <v>731000</v>
      </c>
      <c r="AB740" s="217"/>
      <c r="AC740" s="217"/>
      <c r="AD740" s="217"/>
      <c r="AE740" s="217">
        <v>9644000</v>
      </c>
      <c r="AF740" s="217"/>
      <c r="AG740" s="217">
        <f t="shared" ref="AG740" si="797">SUM(AB740:AF740)</f>
        <v>9644000</v>
      </c>
      <c r="AH740" s="217">
        <f t="shared" ref="AH740" si="798">AG740+AA740</f>
        <v>10375000</v>
      </c>
      <c r="AI740" s="217">
        <v>731000</v>
      </c>
      <c r="AJ740" s="764">
        <f>AI740/AH740*100</f>
        <v>7.0457831325301203</v>
      </c>
    </row>
    <row r="741" spans="1:36" ht="16.5" customHeight="1">
      <c r="A741" s="677"/>
      <c r="B741" s="677"/>
      <c r="C741" s="465"/>
      <c r="D741" s="465"/>
      <c r="E741" s="465"/>
      <c r="F741" s="125"/>
      <c r="G741" s="481"/>
      <c r="H741" s="125"/>
      <c r="I741" s="66"/>
      <c r="J741" s="452"/>
      <c r="K741" s="453"/>
      <c r="L741" s="217"/>
      <c r="M741" s="217"/>
      <c r="N741" s="217"/>
      <c r="O741" s="217"/>
      <c r="P741" s="217"/>
      <c r="Q741" s="217"/>
      <c r="R741" s="217"/>
      <c r="S741" s="217"/>
      <c r="T741" s="217"/>
      <c r="U741" s="217"/>
      <c r="V741" s="217"/>
      <c r="W741" s="217"/>
      <c r="X741" s="217"/>
      <c r="Y741" s="217"/>
      <c r="Z741" s="217"/>
      <c r="AA741" s="217"/>
      <c r="AB741" s="217"/>
      <c r="AC741" s="217"/>
      <c r="AD741" s="217"/>
      <c r="AE741" s="217"/>
      <c r="AF741" s="217"/>
      <c r="AG741" s="217"/>
      <c r="AH741" s="217"/>
      <c r="AI741" s="217"/>
      <c r="AJ741" s="764"/>
    </row>
    <row r="742" spans="1:36" ht="14.5" customHeight="1">
      <c r="A742" s="40"/>
      <c r="B742" s="40"/>
      <c r="C742" s="124"/>
      <c r="D742" s="124"/>
      <c r="E742" s="124"/>
      <c r="F742" s="173"/>
      <c r="G742" s="64"/>
      <c r="H742" s="65"/>
      <c r="I742" s="64" t="s">
        <v>38</v>
      </c>
      <c r="J742" s="333">
        <f>SUM(J735:J741)</f>
        <v>497122540</v>
      </c>
      <c r="K742" s="457"/>
      <c r="L742" s="458"/>
      <c r="M742" s="458">
        <f>SUM(M740:M741)</f>
        <v>727000</v>
      </c>
      <c r="N742" s="458">
        <f t="shared" ref="N742:T742" si="799">SUM(N740:N741)</f>
        <v>0</v>
      </c>
      <c r="O742" s="458">
        <f t="shared" si="799"/>
        <v>0</v>
      </c>
      <c r="P742" s="458">
        <f t="shared" si="799"/>
        <v>0</v>
      </c>
      <c r="Q742" s="458">
        <f t="shared" si="799"/>
        <v>4000</v>
      </c>
      <c r="R742" s="458">
        <f t="shared" si="799"/>
        <v>0</v>
      </c>
      <c r="S742" s="458">
        <f t="shared" si="799"/>
        <v>731000</v>
      </c>
      <c r="T742" s="458">
        <f t="shared" si="799"/>
        <v>731000</v>
      </c>
      <c r="U742" s="458"/>
      <c r="V742" s="458"/>
      <c r="W742" s="458"/>
      <c r="X742" s="458"/>
      <c r="Y742" s="458"/>
      <c r="Z742" s="458">
        <f t="shared" ref="Z742:AA742" si="800">SUM(Z740:Z741)</f>
        <v>0</v>
      </c>
      <c r="AA742" s="458">
        <f t="shared" si="800"/>
        <v>731000</v>
      </c>
      <c r="AB742" s="458"/>
      <c r="AC742" s="458"/>
      <c r="AD742" s="458"/>
      <c r="AE742" s="458">
        <f t="shared" ref="AE742:AI742" si="801">SUM(AE740:AE741)</f>
        <v>9644000</v>
      </c>
      <c r="AF742" s="458"/>
      <c r="AG742" s="458">
        <f t="shared" si="801"/>
        <v>9644000</v>
      </c>
      <c r="AH742" s="458">
        <f t="shared" si="801"/>
        <v>10375000</v>
      </c>
      <c r="AI742" s="458">
        <f t="shared" si="801"/>
        <v>731000</v>
      </c>
      <c r="AJ742" s="770">
        <f>AI742/AH742*100</f>
        <v>7.0457831325301203</v>
      </c>
    </row>
    <row r="743" spans="1:36" ht="14.5" customHeight="1">
      <c r="A743" s="40"/>
      <c r="B743" s="40"/>
      <c r="C743" s="124"/>
      <c r="D743" s="124"/>
      <c r="E743" s="124"/>
      <c r="F743" s="41"/>
      <c r="G743" s="41"/>
      <c r="H743" s="66"/>
      <c r="I743" s="41"/>
      <c r="J743" s="126"/>
      <c r="K743" s="204"/>
      <c r="L743" s="205"/>
      <c r="M743" s="205"/>
      <c r="N743" s="205"/>
      <c r="O743" s="205"/>
      <c r="P743" s="205"/>
      <c r="Q743" s="205"/>
      <c r="R743" s="205"/>
      <c r="S743" s="205"/>
      <c r="T743" s="205"/>
      <c r="U743" s="205"/>
      <c r="V743" s="205"/>
      <c r="W743" s="205"/>
      <c r="X743" s="205"/>
      <c r="Y743" s="205"/>
      <c r="Z743" s="205"/>
      <c r="AA743" s="205"/>
      <c r="AB743" s="205"/>
      <c r="AC743" s="205"/>
      <c r="AD743" s="205"/>
      <c r="AE743" s="205"/>
      <c r="AF743" s="205"/>
      <c r="AG743" s="205"/>
      <c r="AH743" s="205"/>
      <c r="AI743" s="205"/>
      <c r="AJ743" s="747"/>
    </row>
    <row r="744" spans="1:36" ht="16.5" customHeight="1">
      <c r="A744" s="677"/>
      <c r="B744" s="677">
        <v>5</v>
      </c>
      <c r="C744" s="465"/>
      <c r="D744" s="465"/>
      <c r="E744" s="465"/>
      <c r="F744" s="481"/>
      <c r="G744" s="481" t="s">
        <v>547</v>
      </c>
      <c r="H744" s="125"/>
      <c r="I744" s="66"/>
      <c r="J744" s="452"/>
      <c r="K744" s="453"/>
      <c r="L744" s="454"/>
      <c r="M744" s="454"/>
      <c r="N744" s="454"/>
      <c r="O744" s="454"/>
      <c r="P744" s="454"/>
      <c r="Q744" s="454"/>
      <c r="R744" s="454"/>
      <c r="S744" s="454"/>
      <c r="T744" s="454"/>
      <c r="U744" s="454"/>
      <c r="V744" s="454"/>
      <c r="W744" s="454"/>
      <c r="X744" s="454"/>
      <c r="Y744" s="454"/>
      <c r="Z744" s="454"/>
      <c r="AA744" s="454"/>
      <c r="AB744" s="454"/>
      <c r="AC744" s="454"/>
      <c r="AD744" s="454"/>
      <c r="AE744" s="454"/>
      <c r="AF744" s="454"/>
      <c r="AG744" s="454"/>
      <c r="AH744" s="454"/>
      <c r="AI744" s="454"/>
      <c r="AJ744" s="769"/>
    </row>
    <row r="745" spans="1:36" ht="16.5" customHeight="1">
      <c r="A745" s="677"/>
      <c r="B745" s="677"/>
      <c r="C745" s="465">
        <v>1</v>
      </c>
      <c r="D745" s="465"/>
      <c r="E745" s="465"/>
      <c r="F745" s="125"/>
      <c r="G745" s="481"/>
      <c r="H745" s="66" t="s">
        <v>35</v>
      </c>
      <c r="I745" s="125"/>
      <c r="J745" s="452"/>
      <c r="K745" s="453"/>
      <c r="L745" s="454"/>
      <c r="M745" s="454"/>
      <c r="N745" s="454"/>
      <c r="O745" s="454"/>
      <c r="P745" s="454"/>
      <c r="Q745" s="454"/>
      <c r="R745" s="454"/>
      <c r="S745" s="454"/>
      <c r="T745" s="454"/>
      <c r="U745" s="454"/>
      <c r="V745" s="454"/>
      <c r="W745" s="454"/>
      <c r="X745" s="454"/>
      <c r="Y745" s="454"/>
      <c r="Z745" s="454"/>
      <c r="AA745" s="454"/>
      <c r="AB745" s="454"/>
      <c r="AC745" s="454"/>
      <c r="AD745" s="454"/>
      <c r="AE745" s="454"/>
      <c r="AF745" s="454"/>
      <c r="AG745" s="454"/>
      <c r="AH745" s="454"/>
      <c r="AI745" s="454"/>
      <c r="AJ745" s="769"/>
    </row>
    <row r="746" spans="1:36" ht="16.5" customHeight="1">
      <c r="A746" s="677"/>
      <c r="B746" s="677"/>
      <c r="C746" s="465"/>
      <c r="D746" s="465">
        <v>3</v>
      </c>
      <c r="E746" s="465" t="s">
        <v>199</v>
      </c>
      <c r="F746" s="125"/>
      <c r="G746" s="481"/>
      <c r="H746" s="125"/>
      <c r="I746" s="66" t="s">
        <v>116</v>
      </c>
      <c r="J746" s="452">
        <v>124280635</v>
      </c>
      <c r="K746" s="453"/>
      <c r="L746" s="217"/>
      <c r="M746" s="217"/>
      <c r="N746" s="217"/>
      <c r="O746" s="217"/>
      <c r="P746" s="217"/>
      <c r="Q746" s="217">
        <v>810000</v>
      </c>
      <c r="R746" s="217"/>
      <c r="S746" s="217">
        <f t="shared" ref="S746" si="802">SUM(M746:R746)</f>
        <v>810000</v>
      </c>
      <c r="T746" s="217">
        <f t="shared" ref="T746" si="803">S746+L746</f>
        <v>810000</v>
      </c>
      <c r="U746" s="217"/>
      <c r="V746" s="217"/>
      <c r="W746" s="217"/>
      <c r="X746" s="217"/>
      <c r="Y746" s="217"/>
      <c r="Z746" s="217">
        <f>SUM(U746:Y746)</f>
        <v>0</v>
      </c>
      <c r="AA746" s="217">
        <f>Z746+T746</f>
        <v>810000</v>
      </c>
      <c r="AB746" s="217"/>
      <c r="AC746" s="217"/>
      <c r="AD746" s="217"/>
      <c r="AE746" s="217"/>
      <c r="AF746" s="217"/>
      <c r="AG746" s="217">
        <f t="shared" ref="AG746" si="804">SUM(AB746:AF746)</f>
        <v>0</v>
      </c>
      <c r="AH746" s="217">
        <f t="shared" ref="AH746" si="805">AG746+AA746</f>
        <v>810000</v>
      </c>
      <c r="AI746" s="217">
        <v>810000</v>
      </c>
      <c r="AJ746" s="764">
        <f>AI746/AH746*100</f>
        <v>100</v>
      </c>
    </row>
    <row r="747" spans="1:36" ht="16.5" customHeight="1">
      <c r="A747" s="677"/>
      <c r="B747" s="677"/>
      <c r="C747" s="465"/>
      <c r="D747" s="465"/>
      <c r="E747" s="465"/>
      <c r="F747" s="125"/>
      <c r="G747" s="481"/>
      <c r="H747" s="125"/>
      <c r="I747" s="66"/>
      <c r="J747" s="452"/>
      <c r="K747" s="453"/>
      <c r="L747" s="217"/>
      <c r="M747" s="217"/>
      <c r="N747" s="217"/>
      <c r="O747" s="217"/>
      <c r="P747" s="217"/>
      <c r="Q747" s="217"/>
      <c r="R747" s="217"/>
      <c r="S747" s="217"/>
      <c r="T747" s="217"/>
      <c r="U747" s="217"/>
      <c r="V747" s="217"/>
      <c r="W747" s="217"/>
      <c r="X747" s="217"/>
      <c r="Y747" s="217"/>
      <c r="Z747" s="217"/>
      <c r="AA747" s="217"/>
      <c r="AB747" s="217"/>
      <c r="AC747" s="217"/>
      <c r="AD747" s="217"/>
      <c r="AE747" s="217"/>
      <c r="AF747" s="217"/>
      <c r="AG747" s="217"/>
      <c r="AH747" s="217"/>
      <c r="AI747" s="217"/>
      <c r="AJ747" s="764"/>
    </row>
    <row r="748" spans="1:36" ht="14.5" customHeight="1">
      <c r="A748" s="40"/>
      <c r="B748" s="40"/>
      <c r="C748" s="124"/>
      <c r="D748" s="124"/>
      <c r="E748" s="124"/>
      <c r="F748" s="173"/>
      <c r="G748" s="64"/>
      <c r="H748" s="65"/>
      <c r="I748" s="64" t="s">
        <v>38</v>
      </c>
      <c r="J748" s="333">
        <f>SUM(J741:J747)</f>
        <v>621403175</v>
      </c>
      <c r="K748" s="457"/>
      <c r="L748" s="458"/>
      <c r="M748" s="458"/>
      <c r="N748" s="333"/>
      <c r="O748" s="333"/>
      <c r="P748" s="333"/>
      <c r="Q748" s="333">
        <f>SUM(Q746:Q747)</f>
        <v>810000</v>
      </c>
      <c r="R748" s="333">
        <f t="shared" ref="R748:T748" si="806">SUM(R746:R747)</f>
        <v>0</v>
      </c>
      <c r="S748" s="333">
        <f t="shared" si="806"/>
        <v>810000</v>
      </c>
      <c r="T748" s="333">
        <f t="shared" si="806"/>
        <v>810000</v>
      </c>
      <c r="U748" s="333"/>
      <c r="V748" s="333"/>
      <c r="W748" s="333"/>
      <c r="X748" s="333"/>
      <c r="Y748" s="333"/>
      <c r="Z748" s="333">
        <f t="shared" ref="Z748:AA748" si="807">SUM(Z746:Z747)</f>
        <v>0</v>
      </c>
      <c r="AA748" s="333">
        <f t="shared" si="807"/>
        <v>810000</v>
      </c>
      <c r="AB748" s="333"/>
      <c r="AC748" s="333"/>
      <c r="AD748" s="333"/>
      <c r="AE748" s="333"/>
      <c r="AF748" s="333"/>
      <c r="AG748" s="333">
        <f t="shared" ref="AG748:AI748" si="808">SUM(AG746:AG747)</f>
        <v>0</v>
      </c>
      <c r="AH748" s="333">
        <f t="shared" si="808"/>
        <v>810000</v>
      </c>
      <c r="AI748" s="333">
        <f t="shared" si="808"/>
        <v>810000</v>
      </c>
      <c r="AJ748" s="770">
        <f>AI748/AH748*100</f>
        <v>100</v>
      </c>
    </row>
    <row r="749" spans="1:36" ht="14.5" customHeight="1">
      <c r="A749" s="40"/>
      <c r="B749" s="40"/>
      <c r="C749" s="124"/>
      <c r="D749" s="124"/>
      <c r="E749" s="124"/>
      <c r="F749" s="41"/>
      <c r="G749" s="41"/>
      <c r="H749" s="66"/>
      <c r="I749" s="41"/>
      <c r="J749" s="126"/>
      <c r="K749" s="204"/>
      <c r="L749" s="205"/>
      <c r="M749" s="205"/>
      <c r="N749" s="205"/>
      <c r="O749" s="205"/>
      <c r="P749" s="205"/>
      <c r="Q749" s="205"/>
      <c r="R749" s="205"/>
      <c r="S749" s="205"/>
      <c r="T749" s="205"/>
      <c r="U749" s="205"/>
      <c r="V749" s="205"/>
      <c r="W749" s="205"/>
      <c r="X749" s="205"/>
      <c r="Y749" s="205"/>
      <c r="Z749" s="205"/>
      <c r="AA749" s="205"/>
      <c r="AB749" s="205"/>
      <c r="AC749" s="205"/>
      <c r="AD749" s="205"/>
      <c r="AE749" s="205"/>
      <c r="AF749" s="205"/>
      <c r="AG749" s="205"/>
      <c r="AH749" s="205"/>
      <c r="AI749" s="205"/>
      <c r="AJ749" s="747"/>
    </row>
    <row r="750" spans="1:36" ht="16.5" customHeight="1">
      <c r="A750" s="677"/>
      <c r="B750" s="677">
        <v>6</v>
      </c>
      <c r="C750" s="465"/>
      <c r="D750" s="465"/>
      <c r="E750" s="465"/>
      <c r="F750" s="481"/>
      <c r="G750" s="481" t="s">
        <v>614</v>
      </c>
      <c r="H750" s="125"/>
      <c r="I750" s="66"/>
      <c r="J750" s="452"/>
      <c r="K750" s="453"/>
      <c r="L750" s="454"/>
      <c r="M750" s="454"/>
      <c r="N750" s="454"/>
      <c r="O750" s="454"/>
      <c r="P750" s="454"/>
      <c r="Q750" s="454"/>
      <c r="R750" s="454"/>
      <c r="S750" s="454"/>
      <c r="T750" s="454"/>
      <c r="U750" s="454"/>
      <c r="V750" s="454"/>
      <c r="W750" s="454"/>
      <c r="X750" s="454"/>
      <c r="Y750" s="454"/>
      <c r="Z750" s="454"/>
      <c r="AA750" s="454"/>
      <c r="AB750" s="454"/>
      <c r="AC750" s="454"/>
      <c r="AD750" s="454"/>
      <c r="AE750" s="454"/>
      <c r="AF750" s="454"/>
      <c r="AG750" s="454"/>
      <c r="AH750" s="454"/>
      <c r="AI750" s="454"/>
      <c r="AJ750" s="769"/>
    </row>
    <row r="751" spans="1:36" ht="16.5" customHeight="1">
      <c r="A751" s="677"/>
      <c r="B751" s="677"/>
      <c r="C751" s="465">
        <v>1</v>
      </c>
      <c r="D751" s="465"/>
      <c r="E751" s="465"/>
      <c r="F751" s="125"/>
      <c r="G751" s="481"/>
      <c r="H751" s="66" t="s">
        <v>35</v>
      </c>
      <c r="I751" s="125"/>
      <c r="J751" s="452"/>
      <c r="K751" s="453"/>
      <c r="L751" s="454"/>
      <c r="M751" s="454"/>
      <c r="N751" s="454"/>
      <c r="O751" s="454"/>
      <c r="P751" s="454"/>
      <c r="Q751" s="454"/>
      <c r="R751" s="454"/>
      <c r="S751" s="454"/>
      <c r="T751" s="454"/>
      <c r="U751" s="454"/>
      <c r="V751" s="454"/>
      <c r="W751" s="454"/>
      <c r="X751" s="454"/>
      <c r="Y751" s="454"/>
      <c r="Z751" s="454"/>
      <c r="AA751" s="454"/>
      <c r="AB751" s="454"/>
      <c r="AC751" s="454"/>
      <c r="AD751" s="454"/>
      <c r="AE751" s="454"/>
      <c r="AF751" s="454"/>
      <c r="AG751" s="454"/>
      <c r="AH751" s="454"/>
      <c r="AI751" s="454"/>
      <c r="AJ751" s="769"/>
    </row>
    <row r="752" spans="1:36" ht="16.5" customHeight="1">
      <c r="A752" s="677"/>
      <c r="B752" s="677"/>
      <c r="C752" s="465"/>
      <c r="D752" s="465">
        <v>3</v>
      </c>
      <c r="E752" s="465" t="s">
        <v>199</v>
      </c>
      <c r="F752" s="125"/>
      <c r="G752" s="481"/>
      <c r="H752" s="125"/>
      <c r="I752" s="66" t="s">
        <v>116</v>
      </c>
      <c r="J752" s="452">
        <v>124280635</v>
      </c>
      <c r="K752" s="453"/>
      <c r="L752" s="217"/>
      <c r="M752" s="217"/>
      <c r="N752" s="217"/>
      <c r="O752" s="217"/>
      <c r="P752" s="217"/>
      <c r="Q752" s="217">
        <v>24300000</v>
      </c>
      <c r="R752" s="217"/>
      <c r="S752" s="217">
        <f t="shared" ref="S752" si="809">SUM(M752:R752)</f>
        <v>24300000</v>
      </c>
      <c r="T752" s="217">
        <f t="shared" ref="T752" si="810">S752+L752</f>
        <v>24300000</v>
      </c>
      <c r="U752" s="217"/>
      <c r="V752" s="217"/>
      <c r="W752" s="217"/>
      <c r="X752" s="217"/>
      <c r="Y752" s="217"/>
      <c r="Z752" s="217">
        <f>SUM(U752:Y752)</f>
        <v>0</v>
      </c>
      <c r="AA752" s="217">
        <f>Z752+T752</f>
        <v>24300000</v>
      </c>
      <c r="AB752" s="217"/>
      <c r="AC752" s="217"/>
      <c r="AD752" s="217"/>
      <c r="AE752" s="217"/>
      <c r="AF752" s="217"/>
      <c r="AG752" s="217">
        <f t="shared" ref="AG752" si="811">SUM(AB752:AF752)</f>
        <v>0</v>
      </c>
      <c r="AH752" s="217">
        <f t="shared" ref="AH752" si="812">AG752+AA752</f>
        <v>24300000</v>
      </c>
      <c r="AI752" s="217">
        <v>24300000</v>
      </c>
      <c r="AJ752" s="764">
        <f>AI752/AH752*100</f>
        <v>100</v>
      </c>
    </row>
    <row r="753" spans="1:36" ht="16.5" customHeight="1">
      <c r="A753" s="677"/>
      <c r="B753" s="677"/>
      <c r="C753" s="465"/>
      <c r="D753" s="465"/>
      <c r="E753" s="465"/>
      <c r="F753" s="125"/>
      <c r="G753" s="481"/>
      <c r="H753" s="125"/>
      <c r="I753" s="66"/>
      <c r="J753" s="452"/>
      <c r="K753" s="453"/>
      <c r="L753" s="217"/>
      <c r="M753" s="217"/>
      <c r="N753" s="217"/>
      <c r="O753" s="217"/>
      <c r="P753" s="217"/>
      <c r="Q753" s="217"/>
      <c r="R753" s="217"/>
      <c r="S753" s="217"/>
      <c r="T753" s="217"/>
      <c r="U753" s="217"/>
      <c r="V753" s="217"/>
      <c r="W753" s="217"/>
      <c r="X753" s="217"/>
      <c r="Y753" s="217"/>
      <c r="Z753" s="217"/>
      <c r="AA753" s="217"/>
      <c r="AB753" s="217"/>
      <c r="AC753" s="217"/>
      <c r="AD753" s="217"/>
      <c r="AE753" s="217"/>
      <c r="AF753" s="217"/>
      <c r="AG753" s="217"/>
      <c r="AH753" s="217"/>
      <c r="AI753" s="217"/>
      <c r="AJ753" s="764"/>
    </row>
    <row r="754" spans="1:36" ht="14.5" customHeight="1">
      <c r="A754" s="40"/>
      <c r="B754" s="40"/>
      <c r="C754" s="124"/>
      <c r="D754" s="124"/>
      <c r="E754" s="124"/>
      <c r="F754" s="173"/>
      <c r="G754" s="64"/>
      <c r="H754" s="65"/>
      <c r="I754" s="64" t="s">
        <v>38</v>
      </c>
      <c r="J754" s="333">
        <f>SUM(J747:J753)</f>
        <v>745683810</v>
      </c>
      <c r="K754" s="457"/>
      <c r="L754" s="458"/>
      <c r="M754" s="458"/>
      <c r="N754" s="333"/>
      <c r="O754" s="333"/>
      <c r="P754" s="333"/>
      <c r="Q754" s="333">
        <f>SUM(Q752:Q753)</f>
        <v>24300000</v>
      </c>
      <c r="R754" s="333">
        <f t="shared" ref="R754:T754" si="813">SUM(R752:R753)</f>
        <v>0</v>
      </c>
      <c r="S754" s="333">
        <f t="shared" si="813"/>
        <v>24300000</v>
      </c>
      <c r="T754" s="333">
        <f t="shared" si="813"/>
        <v>24300000</v>
      </c>
      <c r="U754" s="333"/>
      <c r="V754" s="333"/>
      <c r="W754" s="333"/>
      <c r="X754" s="333"/>
      <c r="Y754" s="333"/>
      <c r="Z754" s="333">
        <f t="shared" ref="Z754:AA754" si="814">SUM(Z752:Z753)</f>
        <v>0</v>
      </c>
      <c r="AA754" s="333">
        <f t="shared" si="814"/>
        <v>24300000</v>
      </c>
      <c r="AB754" s="333"/>
      <c r="AC754" s="333"/>
      <c r="AD754" s="333"/>
      <c r="AE754" s="333"/>
      <c r="AF754" s="333"/>
      <c r="AG754" s="333">
        <f t="shared" ref="AG754:AI754" si="815">SUM(AG752:AG753)</f>
        <v>0</v>
      </c>
      <c r="AH754" s="333">
        <f t="shared" si="815"/>
        <v>24300000</v>
      </c>
      <c r="AI754" s="333">
        <f t="shared" si="815"/>
        <v>24300000</v>
      </c>
      <c r="AJ754" s="770">
        <f>AI754/AH754*100</f>
        <v>100</v>
      </c>
    </row>
    <row r="755" spans="1:36" ht="14.5" customHeight="1">
      <c r="A755" s="40"/>
      <c r="B755" s="40"/>
      <c r="C755" s="124"/>
      <c r="D755" s="124"/>
      <c r="E755" s="124"/>
      <c r="F755" s="41"/>
      <c r="G755" s="41"/>
      <c r="H755" s="66"/>
      <c r="I755" s="41"/>
      <c r="J755" s="126"/>
      <c r="K755" s="204"/>
      <c r="L755" s="205"/>
      <c r="M755" s="205"/>
      <c r="N755" s="205"/>
      <c r="O755" s="205"/>
      <c r="P755" s="205"/>
      <c r="Q755" s="205"/>
      <c r="R755" s="205"/>
      <c r="S755" s="205"/>
      <c r="T755" s="205"/>
      <c r="U755" s="205"/>
      <c r="V755" s="205"/>
      <c r="W755" s="205"/>
      <c r="X755" s="205"/>
      <c r="Y755" s="205"/>
      <c r="Z755" s="205"/>
      <c r="AA755" s="205"/>
      <c r="AB755" s="205"/>
      <c r="AC755" s="205"/>
      <c r="AD755" s="205"/>
      <c r="AE755" s="205"/>
      <c r="AF755" s="205"/>
      <c r="AG755" s="205"/>
      <c r="AH755" s="205"/>
      <c r="AI755" s="205"/>
      <c r="AJ755" s="747"/>
    </row>
    <row r="756" spans="1:36" ht="16.5" customHeight="1">
      <c r="A756" s="677"/>
      <c r="B756" s="677">
        <v>7</v>
      </c>
      <c r="C756" s="465"/>
      <c r="D756" s="465"/>
      <c r="E756" s="465"/>
      <c r="F756" s="481"/>
      <c r="G756" s="481" t="s">
        <v>548</v>
      </c>
      <c r="H756" s="125"/>
      <c r="I756" s="66"/>
      <c r="J756" s="452"/>
      <c r="K756" s="453"/>
      <c r="L756" s="454"/>
      <c r="M756" s="454"/>
      <c r="N756" s="454"/>
      <c r="O756" s="454"/>
      <c r="P756" s="454"/>
      <c r="Q756" s="454"/>
      <c r="R756" s="454"/>
      <c r="S756" s="454"/>
      <c r="T756" s="454"/>
      <c r="U756" s="454"/>
      <c r="V756" s="454"/>
      <c r="W756" s="454"/>
      <c r="X756" s="454"/>
      <c r="Y756" s="454"/>
      <c r="Z756" s="454"/>
      <c r="AA756" s="454"/>
      <c r="AB756" s="454"/>
      <c r="AC756" s="454"/>
      <c r="AD756" s="454"/>
      <c r="AE756" s="454"/>
      <c r="AF756" s="454"/>
      <c r="AG756" s="454"/>
      <c r="AH756" s="454"/>
      <c r="AI756" s="454"/>
      <c r="AJ756" s="769"/>
    </row>
    <row r="757" spans="1:36" ht="16.5" customHeight="1">
      <c r="A757" s="677"/>
      <c r="B757" s="677"/>
      <c r="C757" s="465">
        <v>1</v>
      </c>
      <c r="D757" s="465"/>
      <c r="E757" s="465"/>
      <c r="F757" s="125"/>
      <c r="G757" s="481"/>
      <c r="H757" s="66" t="s">
        <v>35</v>
      </c>
      <c r="I757" s="125"/>
      <c r="J757" s="452"/>
      <c r="K757" s="453"/>
      <c r="L757" s="454"/>
      <c r="M757" s="454"/>
      <c r="N757" s="454"/>
      <c r="O757" s="454"/>
      <c r="P757" s="454"/>
      <c r="Q757" s="454"/>
      <c r="R757" s="454"/>
      <c r="S757" s="454"/>
      <c r="T757" s="454"/>
      <c r="U757" s="454"/>
      <c r="V757" s="454"/>
      <c r="W757" s="454"/>
      <c r="X757" s="454"/>
      <c r="Y757" s="454"/>
      <c r="Z757" s="454"/>
      <c r="AA757" s="454"/>
      <c r="AB757" s="454"/>
      <c r="AC757" s="454"/>
      <c r="AD757" s="454"/>
      <c r="AE757" s="454"/>
      <c r="AF757" s="454"/>
      <c r="AG757" s="454"/>
      <c r="AH757" s="454"/>
      <c r="AI757" s="454"/>
      <c r="AJ757" s="769"/>
    </row>
    <row r="758" spans="1:36" ht="16.5" customHeight="1">
      <c r="A758" s="677"/>
      <c r="B758" s="677"/>
      <c r="C758" s="465"/>
      <c r="D758" s="465">
        <v>3</v>
      </c>
      <c r="E758" s="465" t="s">
        <v>199</v>
      </c>
      <c r="F758" s="125"/>
      <c r="G758" s="481"/>
      <c r="H758" s="125"/>
      <c r="I758" s="66" t="s">
        <v>116</v>
      </c>
      <c r="J758" s="452">
        <v>124280635</v>
      </c>
      <c r="K758" s="453"/>
      <c r="L758" s="217"/>
      <c r="M758" s="217">
        <v>44339000</v>
      </c>
      <c r="N758" s="217"/>
      <c r="O758" s="217"/>
      <c r="P758" s="217"/>
      <c r="Q758" s="217">
        <v>54191000</v>
      </c>
      <c r="R758" s="217"/>
      <c r="S758" s="217">
        <f t="shared" ref="S758" si="816">SUM(M758:R758)</f>
        <v>98530000</v>
      </c>
      <c r="T758" s="217">
        <f t="shared" ref="T758" si="817">S758+L758</f>
        <v>98530000</v>
      </c>
      <c r="U758" s="217"/>
      <c r="V758" s="217"/>
      <c r="W758" s="217"/>
      <c r="X758" s="217">
        <v>111885000</v>
      </c>
      <c r="Y758" s="217"/>
      <c r="Z758" s="217">
        <f>SUM(U758:Y758)</f>
        <v>111885000</v>
      </c>
      <c r="AA758" s="217">
        <f>Z758+T758</f>
        <v>210415000</v>
      </c>
      <c r="AB758" s="217"/>
      <c r="AC758" s="217"/>
      <c r="AD758" s="217"/>
      <c r="AE758" s="217"/>
      <c r="AF758" s="217"/>
      <c r="AG758" s="217">
        <f t="shared" ref="AG758" si="818">SUM(AB758:AF758)</f>
        <v>0</v>
      </c>
      <c r="AH758" s="217">
        <f t="shared" ref="AH758" si="819">AG758+AA758</f>
        <v>210415000</v>
      </c>
      <c r="AI758" s="217">
        <v>210415000</v>
      </c>
      <c r="AJ758" s="764">
        <f>AI758/AH758*100</f>
        <v>100</v>
      </c>
    </row>
    <row r="759" spans="1:36" ht="16.5" customHeight="1">
      <c r="A759" s="677"/>
      <c r="B759" s="677"/>
      <c r="C759" s="465"/>
      <c r="D759" s="465"/>
      <c r="E759" s="465"/>
      <c r="F759" s="125"/>
      <c r="G759" s="481"/>
      <c r="H759" s="125"/>
      <c r="I759" s="66"/>
      <c r="J759" s="452"/>
      <c r="K759" s="453"/>
      <c r="L759" s="217"/>
      <c r="M759" s="217"/>
      <c r="N759" s="217"/>
      <c r="O759" s="217"/>
      <c r="P759" s="217"/>
      <c r="Q759" s="217"/>
      <c r="R759" s="217"/>
      <c r="S759" s="217"/>
      <c r="T759" s="217"/>
      <c r="U759" s="217"/>
      <c r="V759" s="217"/>
      <c r="W759" s="217"/>
      <c r="X759" s="217"/>
      <c r="Y759" s="217"/>
      <c r="Z759" s="217"/>
      <c r="AA759" s="217"/>
      <c r="AB759" s="217"/>
      <c r="AC759" s="217"/>
      <c r="AD759" s="217"/>
      <c r="AE759" s="217"/>
      <c r="AF759" s="217"/>
      <c r="AG759" s="217"/>
      <c r="AH759" s="217"/>
      <c r="AI759" s="217"/>
      <c r="AJ759" s="764"/>
    </row>
    <row r="760" spans="1:36" ht="14.5" customHeight="1">
      <c r="A760" s="40"/>
      <c r="B760" s="40"/>
      <c r="C760" s="124"/>
      <c r="D760" s="124"/>
      <c r="E760" s="124"/>
      <c r="F760" s="173"/>
      <c r="G760" s="64"/>
      <c r="H760" s="65"/>
      <c r="I760" s="64" t="s">
        <v>38</v>
      </c>
      <c r="J760" s="333">
        <f>SUM(J753:J759)</f>
        <v>869964445</v>
      </c>
      <c r="K760" s="457"/>
      <c r="L760" s="458"/>
      <c r="M760" s="458">
        <f>SUM(M758:M759)</f>
        <v>44339000</v>
      </c>
      <c r="N760" s="458">
        <f t="shared" ref="N760:T760" si="820">SUM(N758:N759)</f>
        <v>0</v>
      </c>
      <c r="O760" s="458">
        <f t="shared" si="820"/>
        <v>0</v>
      </c>
      <c r="P760" s="458">
        <f t="shared" si="820"/>
        <v>0</v>
      </c>
      <c r="Q760" s="458">
        <f t="shared" si="820"/>
        <v>54191000</v>
      </c>
      <c r="R760" s="458">
        <f t="shared" si="820"/>
        <v>0</v>
      </c>
      <c r="S760" s="458">
        <f t="shared" si="820"/>
        <v>98530000</v>
      </c>
      <c r="T760" s="458">
        <f t="shared" si="820"/>
        <v>98530000</v>
      </c>
      <c r="U760" s="458"/>
      <c r="V760" s="458"/>
      <c r="W760" s="458"/>
      <c r="X760" s="458">
        <f t="shared" ref="X760:AA760" si="821">SUM(X758:X759)</f>
        <v>111885000</v>
      </c>
      <c r="Y760" s="458"/>
      <c r="Z760" s="458">
        <f t="shared" si="821"/>
        <v>111885000</v>
      </c>
      <c r="AA760" s="458">
        <f t="shared" si="821"/>
        <v>210415000</v>
      </c>
      <c r="AB760" s="458"/>
      <c r="AC760" s="458"/>
      <c r="AD760" s="458"/>
      <c r="AE760" s="458">
        <f t="shared" ref="AE760" si="822">SUM(AE758:AE759)</f>
        <v>0</v>
      </c>
      <c r="AF760" s="458"/>
      <c r="AG760" s="458">
        <f t="shared" ref="AG760:AI760" si="823">SUM(AG758:AG759)</f>
        <v>0</v>
      </c>
      <c r="AH760" s="458">
        <f t="shared" si="823"/>
        <v>210415000</v>
      </c>
      <c r="AI760" s="458">
        <f t="shared" si="823"/>
        <v>210415000</v>
      </c>
      <c r="AJ760" s="770">
        <f>AI760/AH760*100</f>
        <v>100</v>
      </c>
    </row>
    <row r="761" spans="1:36" ht="14.5" customHeight="1">
      <c r="A761" s="40"/>
      <c r="B761" s="40"/>
      <c r="C761" s="124"/>
      <c r="D761" s="124"/>
      <c r="E761" s="124"/>
      <c r="F761" s="41"/>
      <c r="G761" s="41"/>
      <c r="H761" s="66"/>
      <c r="I761" s="41"/>
      <c r="J761" s="126"/>
      <c r="K761" s="204"/>
      <c r="L761" s="205"/>
      <c r="M761" s="205"/>
      <c r="N761" s="205"/>
      <c r="O761" s="205"/>
      <c r="P761" s="205"/>
      <c r="Q761" s="205"/>
      <c r="R761" s="205"/>
      <c r="S761" s="205"/>
      <c r="T761" s="205"/>
      <c r="U761" s="205"/>
      <c r="V761" s="205"/>
      <c r="W761" s="205"/>
      <c r="X761" s="205"/>
      <c r="Y761" s="205"/>
      <c r="Z761" s="205"/>
      <c r="AA761" s="205"/>
      <c r="AB761" s="205"/>
      <c r="AC761" s="205"/>
      <c r="AD761" s="205"/>
      <c r="AE761" s="205"/>
      <c r="AF761" s="205"/>
      <c r="AG761" s="205"/>
      <c r="AH761" s="205"/>
      <c r="AI761" s="205"/>
      <c r="AJ761" s="747"/>
    </row>
    <row r="762" spans="1:36" ht="31" customHeight="1">
      <c r="A762" s="677"/>
      <c r="B762" s="677">
        <v>8</v>
      </c>
      <c r="C762" s="465"/>
      <c r="D762" s="465"/>
      <c r="E762" s="465"/>
      <c r="F762" s="481"/>
      <c r="G762" s="943" t="s">
        <v>654</v>
      </c>
      <c r="H762" s="943"/>
      <c r="I762" s="936"/>
      <c r="J762" s="452"/>
      <c r="K762" s="453"/>
      <c r="L762" s="454"/>
      <c r="M762" s="454"/>
      <c r="N762" s="454"/>
      <c r="O762" s="454"/>
      <c r="P762" s="454"/>
      <c r="Q762" s="454"/>
      <c r="R762" s="454"/>
      <c r="S762" s="454"/>
      <c r="T762" s="454"/>
      <c r="U762" s="454"/>
      <c r="V762" s="454"/>
      <c r="W762" s="454"/>
      <c r="X762" s="454"/>
      <c r="Y762" s="454"/>
      <c r="Z762" s="454"/>
      <c r="AA762" s="454"/>
      <c r="AB762" s="454"/>
      <c r="AC762" s="454"/>
      <c r="AD762" s="454"/>
      <c r="AE762" s="454"/>
      <c r="AF762" s="454"/>
      <c r="AG762" s="454"/>
      <c r="AH762" s="454"/>
      <c r="AI762" s="454"/>
      <c r="AJ762" s="769"/>
    </row>
    <row r="763" spans="1:36" ht="16.5" customHeight="1">
      <c r="A763" s="677"/>
      <c r="B763" s="677"/>
      <c r="C763" s="465">
        <v>1</v>
      </c>
      <c r="D763" s="465"/>
      <c r="E763" s="465"/>
      <c r="F763" s="125"/>
      <c r="G763" s="481"/>
      <c r="H763" s="66" t="s">
        <v>35</v>
      </c>
      <c r="I763" s="125"/>
      <c r="J763" s="452"/>
      <c r="K763" s="453"/>
      <c r="L763" s="454"/>
      <c r="M763" s="454"/>
      <c r="N763" s="454"/>
      <c r="O763" s="454"/>
      <c r="P763" s="454"/>
      <c r="Q763" s="454"/>
      <c r="R763" s="454"/>
      <c r="S763" s="454"/>
      <c r="T763" s="454"/>
      <c r="U763" s="454"/>
      <c r="V763" s="454"/>
      <c r="W763" s="454"/>
      <c r="X763" s="454"/>
      <c r="Y763" s="454"/>
      <c r="Z763" s="454"/>
      <c r="AA763" s="454"/>
      <c r="AB763" s="454"/>
      <c r="AC763" s="454"/>
      <c r="AD763" s="454"/>
      <c r="AE763" s="454"/>
      <c r="AF763" s="454"/>
      <c r="AG763" s="454"/>
      <c r="AH763" s="454"/>
      <c r="AI763" s="454"/>
      <c r="AJ763" s="769"/>
    </row>
    <row r="764" spans="1:36" ht="16.5" customHeight="1">
      <c r="A764" s="677"/>
      <c r="B764" s="677"/>
      <c r="C764" s="465"/>
      <c r="D764" s="465">
        <v>3</v>
      </c>
      <c r="E764" s="465" t="s">
        <v>199</v>
      </c>
      <c r="F764" s="125"/>
      <c r="G764" s="481"/>
      <c r="H764" s="125"/>
      <c r="I764" s="66" t="s">
        <v>116</v>
      </c>
      <c r="J764" s="452">
        <v>124280635</v>
      </c>
      <c r="K764" s="453"/>
      <c r="L764" s="217"/>
      <c r="M764" s="217">
        <v>44339000</v>
      </c>
      <c r="N764" s="217"/>
      <c r="O764" s="217"/>
      <c r="P764" s="217"/>
      <c r="Q764" s="217">
        <v>54191000</v>
      </c>
      <c r="R764" s="217"/>
      <c r="S764" s="217">
        <f t="shared" ref="S764" si="824">SUM(M764:R764)</f>
        <v>98530000</v>
      </c>
      <c r="T764" s="217"/>
      <c r="U764" s="217"/>
      <c r="V764" s="217"/>
      <c r="W764" s="217"/>
      <c r="X764" s="217">
        <v>15028000</v>
      </c>
      <c r="Y764" s="217"/>
      <c r="Z764" s="217">
        <f>SUM(U764:Y764)</f>
        <v>15028000</v>
      </c>
      <c r="AA764" s="217">
        <f>Z764+T764</f>
        <v>15028000</v>
      </c>
      <c r="AB764" s="217"/>
      <c r="AC764" s="217"/>
      <c r="AD764" s="217"/>
      <c r="AE764" s="217">
        <v>8007000</v>
      </c>
      <c r="AF764" s="217"/>
      <c r="AG764" s="217">
        <f t="shared" ref="AG764" si="825">SUM(AB764:AF764)</f>
        <v>8007000</v>
      </c>
      <c r="AH764" s="217">
        <f t="shared" ref="AH764" si="826">AG764+AA764</f>
        <v>23035000</v>
      </c>
      <c r="AI764" s="217">
        <v>23035000</v>
      </c>
      <c r="AJ764" s="764">
        <f>AI764/AH764*100</f>
        <v>100</v>
      </c>
    </row>
    <row r="765" spans="1:36" ht="16.5" customHeight="1">
      <c r="A765" s="677"/>
      <c r="B765" s="677"/>
      <c r="C765" s="465"/>
      <c r="D765" s="465"/>
      <c r="E765" s="465"/>
      <c r="F765" s="125"/>
      <c r="G765" s="481"/>
      <c r="H765" s="125"/>
      <c r="I765" s="66"/>
      <c r="J765" s="452"/>
      <c r="K765" s="453"/>
      <c r="L765" s="217"/>
      <c r="M765" s="217"/>
      <c r="N765" s="217"/>
      <c r="O765" s="217"/>
      <c r="P765" s="217"/>
      <c r="Q765" s="217"/>
      <c r="R765" s="217"/>
      <c r="S765" s="217"/>
      <c r="T765" s="217"/>
      <c r="U765" s="217"/>
      <c r="V765" s="217"/>
      <c r="W765" s="217"/>
      <c r="X765" s="217"/>
      <c r="Y765" s="217"/>
      <c r="Z765" s="217"/>
      <c r="AA765" s="217"/>
      <c r="AB765" s="217"/>
      <c r="AC765" s="217"/>
      <c r="AD765" s="217"/>
      <c r="AE765" s="217"/>
      <c r="AF765" s="217"/>
      <c r="AG765" s="217"/>
      <c r="AH765" s="217"/>
      <c r="AI765" s="217"/>
      <c r="AJ765" s="764"/>
    </row>
    <row r="766" spans="1:36" ht="14.5" customHeight="1">
      <c r="A766" s="40"/>
      <c r="B766" s="40"/>
      <c r="C766" s="124"/>
      <c r="D766" s="124"/>
      <c r="E766" s="124"/>
      <c r="F766" s="173"/>
      <c r="G766" s="64"/>
      <c r="H766" s="65"/>
      <c r="I766" s="64" t="s">
        <v>38</v>
      </c>
      <c r="J766" s="333">
        <f>SUM(J759:J765)</f>
        <v>994245080</v>
      </c>
      <c r="K766" s="457"/>
      <c r="L766" s="458"/>
      <c r="M766" s="458">
        <f>SUM(M764:M765)</f>
        <v>44339000</v>
      </c>
      <c r="N766" s="458">
        <f t="shared" ref="N766:T766" si="827">SUM(N764:N765)</f>
        <v>0</v>
      </c>
      <c r="O766" s="458">
        <f t="shared" si="827"/>
        <v>0</v>
      </c>
      <c r="P766" s="458">
        <f t="shared" si="827"/>
        <v>0</v>
      </c>
      <c r="Q766" s="458">
        <f t="shared" si="827"/>
        <v>54191000</v>
      </c>
      <c r="R766" s="458">
        <f t="shared" si="827"/>
        <v>0</v>
      </c>
      <c r="S766" s="458">
        <f t="shared" si="827"/>
        <v>98530000</v>
      </c>
      <c r="T766" s="458">
        <f t="shared" si="827"/>
        <v>0</v>
      </c>
      <c r="U766" s="458"/>
      <c r="V766" s="458"/>
      <c r="W766" s="458"/>
      <c r="X766" s="458">
        <f t="shared" ref="X766" si="828">SUM(X764:X765)</f>
        <v>15028000</v>
      </c>
      <c r="Y766" s="458"/>
      <c r="Z766" s="458">
        <f t="shared" ref="Z766:AA766" si="829">SUM(Z764:Z765)</f>
        <v>15028000</v>
      </c>
      <c r="AA766" s="458">
        <f t="shared" si="829"/>
        <v>15028000</v>
      </c>
      <c r="AB766" s="458"/>
      <c r="AC766" s="458"/>
      <c r="AD766" s="458"/>
      <c r="AE766" s="458">
        <f t="shared" ref="AE766" si="830">SUM(AE764:AE765)</f>
        <v>8007000</v>
      </c>
      <c r="AF766" s="458"/>
      <c r="AG766" s="458">
        <f t="shared" ref="AG766:AI766" si="831">SUM(AG764:AG765)</f>
        <v>8007000</v>
      </c>
      <c r="AH766" s="458">
        <f t="shared" si="831"/>
        <v>23035000</v>
      </c>
      <c r="AI766" s="458">
        <f t="shared" si="831"/>
        <v>23035000</v>
      </c>
      <c r="AJ766" s="770">
        <f>AI766/AH766*100</f>
        <v>100</v>
      </c>
    </row>
    <row r="767" spans="1:36" ht="14.5" customHeight="1">
      <c r="A767" s="40"/>
      <c r="B767" s="40"/>
      <c r="C767" s="124"/>
      <c r="D767" s="124"/>
      <c r="E767" s="124"/>
      <c r="F767" s="41"/>
      <c r="G767" s="41"/>
      <c r="H767" s="66"/>
      <c r="I767" s="41"/>
      <c r="J767" s="126"/>
      <c r="K767" s="204"/>
      <c r="L767" s="205"/>
      <c r="M767" s="205"/>
      <c r="N767" s="205"/>
      <c r="O767" s="205"/>
      <c r="P767" s="205"/>
      <c r="Q767" s="205"/>
      <c r="R767" s="205"/>
      <c r="S767" s="205"/>
      <c r="T767" s="205"/>
      <c r="U767" s="205"/>
      <c r="V767" s="205"/>
      <c r="W767" s="205"/>
      <c r="X767" s="205"/>
      <c r="Y767" s="205"/>
      <c r="Z767" s="205"/>
      <c r="AA767" s="205"/>
      <c r="AB767" s="205"/>
      <c r="AC767" s="205"/>
      <c r="AD767" s="205"/>
      <c r="AE767" s="205"/>
      <c r="AF767" s="205"/>
      <c r="AG767" s="205"/>
      <c r="AH767" s="205"/>
      <c r="AI767" s="205"/>
      <c r="AJ767" s="747"/>
    </row>
    <row r="768" spans="1:36" ht="31" customHeight="1">
      <c r="A768" s="677"/>
      <c r="B768" s="677">
        <v>9</v>
      </c>
      <c r="C768" s="465"/>
      <c r="D768" s="465"/>
      <c r="E768" s="465"/>
      <c r="F768" s="481"/>
      <c r="G768" s="943" t="s">
        <v>655</v>
      </c>
      <c r="H768" s="943"/>
      <c r="I768" s="936"/>
      <c r="J768" s="452"/>
      <c r="K768" s="453"/>
      <c r="L768" s="454"/>
      <c r="M768" s="454"/>
      <c r="N768" s="454"/>
      <c r="O768" s="454"/>
      <c r="P768" s="454"/>
      <c r="Q768" s="454"/>
      <c r="R768" s="454"/>
      <c r="S768" s="454"/>
      <c r="T768" s="454"/>
      <c r="U768" s="454"/>
      <c r="V768" s="454"/>
      <c r="W768" s="454"/>
      <c r="X768" s="454"/>
      <c r="Y768" s="454"/>
      <c r="Z768" s="454"/>
      <c r="AA768" s="454"/>
      <c r="AB768" s="454"/>
      <c r="AC768" s="454"/>
      <c r="AD768" s="454"/>
      <c r="AE768" s="454"/>
      <c r="AF768" s="454"/>
      <c r="AG768" s="454"/>
      <c r="AH768" s="454"/>
      <c r="AI768" s="454"/>
      <c r="AJ768" s="769"/>
    </row>
    <row r="769" spans="1:36" ht="14" customHeight="1">
      <c r="A769" s="677"/>
      <c r="B769" s="677"/>
      <c r="C769" s="465">
        <v>1</v>
      </c>
      <c r="D769" s="465"/>
      <c r="E769" s="465"/>
      <c r="F769" s="125"/>
      <c r="G769" s="481"/>
      <c r="H769" s="66" t="s">
        <v>35</v>
      </c>
      <c r="I769" s="125"/>
      <c r="J769" s="452"/>
      <c r="K769" s="453"/>
      <c r="L769" s="454"/>
      <c r="M769" s="454"/>
      <c r="N769" s="454"/>
      <c r="O769" s="454"/>
      <c r="P769" s="454"/>
      <c r="Q769" s="454"/>
      <c r="R769" s="454"/>
      <c r="S769" s="454"/>
      <c r="T769" s="454"/>
      <c r="U769" s="454"/>
      <c r="V769" s="454"/>
      <c r="W769" s="454"/>
      <c r="X769" s="454"/>
      <c r="Y769" s="454"/>
      <c r="Z769" s="454"/>
      <c r="AA769" s="454"/>
      <c r="AB769" s="454"/>
      <c r="AC769" s="454"/>
      <c r="AD769" s="454"/>
      <c r="AE769" s="454"/>
      <c r="AF769" s="454"/>
      <c r="AG769" s="454"/>
      <c r="AH769" s="454"/>
      <c r="AI769" s="454"/>
      <c r="AJ769" s="769"/>
    </row>
    <row r="770" spans="1:36" ht="14" customHeight="1">
      <c r="A770" s="677"/>
      <c r="B770" s="677"/>
      <c r="C770" s="465"/>
      <c r="D770" s="465">
        <v>3</v>
      </c>
      <c r="E770" s="465" t="s">
        <v>199</v>
      </c>
      <c r="F770" s="125"/>
      <c r="G770" s="481"/>
      <c r="H770" s="125"/>
      <c r="I770" s="66" t="s">
        <v>116</v>
      </c>
      <c r="J770" s="452">
        <v>124280635</v>
      </c>
      <c r="K770" s="453"/>
      <c r="L770" s="217"/>
      <c r="M770" s="217">
        <v>44339000</v>
      </c>
      <c r="N770" s="217"/>
      <c r="O770" s="217"/>
      <c r="P770" s="217"/>
      <c r="Q770" s="217">
        <v>54191000</v>
      </c>
      <c r="R770" s="217"/>
      <c r="S770" s="217">
        <f t="shared" ref="S770" si="832">SUM(M770:R770)</f>
        <v>98530000</v>
      </c>
      <c r="T770" s="217"/>
      <c r="U770" s="217"/>
      <c r="V770" s="217"/>
      <c r="W770" s="217"/>
      <c r="X770" s="217">
        <v>13355000</v>
      </c>
      <c r="Y770" s="217"/>
      <c r="Z770" s="217">
        <f>SUM(U770:Y770)</f>
        <v>13355000</v>
      </c>
      <c r="AA770" s="217">
        <f>Z770+T770</f>
        <v>13355000</v>
      </c>
      <c r="AB770" s="217"/>
      <c r="AC770" s="217"/>
      <c r="AD770" s="217"/>
      <c r="AE770" s="217">
        <v>26710000</v>
      </c>
      <c r="AF770" s="217"/>
      <c r="AG770" s="217">
        <f t="shared" ref="AG770" si="833">SUM(AB770:AF770)</f>
        <v>26710000</v>
      </c>
      <c r="AH770" s="217">
        <f t="shared" ref="AH770" si="834">AG770+AA770</f>
        <v>40065000</v>
      </c>
      <c r="AI770" s="217">
        <v>40065000</v>
      </c>
      <c r="AJ770" s="764">
        <f>AI770/AH770*100</f>
        <v>100</v>
      </c>
    </row>
    <row r="771" spans="1:36" ht="6" customHeight="1">
      <c r="A771" s="677"/>
      <c r="B771" s="677"/>
      <c r="C771" s="465"/>
      <c r="D771" s="465"/>
      <c r="E771" s="465"/>
      <c r="F771" s="125"/>
      <c r="G771" s="481"/>
      <c r="H771" s="125"/>
      <c r="I771" s="66"/>
      <c r="J771" s="452"/>
      <c r="K771" s="453"/>
      <c r="L771" s="217"/>
      <c r="M771" s="217"/>
      <c r="N771" s="217"/>
      <c r="O771" s="217"/>
      <c r="P771" s="217"/>
      <c r="Q771" s="217"/>
      <c r="R771" s="217"/>
      <c r="S771" s="217"/>
      <c r="T771" s="217"/>
      <c r="U771" s="217"/>
      <c r="V771" s="217"/>
      <c r="W771" s="217"/>
      <c r="X771" s="217"/>
      <c r="Y771" s="217"/>
      <c r="Z771" s="217"/>
      <c r="AA771" s="217"/>
      <c r="AB771" s="217"/>
      <c r="AC771" s="217"/>
      <c r="AD771" s="217"/>
      <c r="AE771" s="217"/>
      <c r="AF771" s="217"/>
      <c r="AG771" s="217"/>
      <c r="AH771" s="217"/>
      <c r="AI771" s="217"/>
      <c r="AJ771" s="764"/>
    </row>
    <row r="772" spans="1:36" ht="14" customHeight="1">
      <c r="A772" s="40"/>
      <c r="B772" s="40"/>
      <c r="C772" s="124"/>
      <c r="D772" s="124"/>
      <c r="E772" s="124"/>
      <c r="F772" s="173"/>
      <c r="G772" s="64"/>
      <c r="H772" s="65"/>
      <c r="I772" s="64" t="s">
        <v>38</v>
      </c>
      <c r="J772" s="333">
        <f>SUM(J765:J771)</f>
        <v>1118525715</v>
      </c>
      <c r="K772" s="457"/>
      <c r="L772" s="458"/>
      <c r="M772" s="458">
        <f>SUM(M770:M771)</f>
        <v>44339000</v>
      </c>
      <c r="N772" s="458">
        <f t="shared" ref="N772:T772" si="835">SUM(N770:N771)</f>
        <v>0</v>
      </c>
      <c r="O772" s="458">
        <f t="shared" si="835"/>
        <v>0</v>
      </c>
      <c r="P772" s="458">
        <f t="shared" si="835"/>
        <v>0</v>
      </c>
      <c r="Q772" s="458">
        <f t="shared" si="835"/>
        <v>54191000</v>
      </c>
      <c r="R772" s="458">
        <f t="shared" si="835"/>
        <v>0</v>
      </c>
      <c r="S772" s="458">
        <f t="shared" si="835"/>
        <v>98530000</v>
      </c>
      <c r="T772" s="458">
        <f t="shared" si="835"/>
        <v>0</v>
      </c>
      <c r="U772" s="458"/>
      <c r="V772" s="458"/>
      <c r="W772" s="458"/>
      <c r="X772" s="458">
        <f t="shared" ref="X772" si="836">SUM(X770:X771)</f>
        <v>13355000</v>
      </c>
      <c r="Y772" s="458"/>
      <c r="Z772" s="458">
        <f t="shared" ref="Z772:AA772" si="837">SUM(Z770:Z771)</f>
        <v>13355000</v>
      </c>
      <c r="AA772" s="458">
        <f t="shared" si="837"/>
        <v>13355000</v>
      </c>
      <c r="AB772" s="458"/>
      <c r="AC772" s="458"/>
      <c r="AD772" s="458"/>
      <c r="AE772" s="458">
        <f t="shared" ref="AE772" si="838">SUM(AE770:AE771)</f>
        <v>26710000</v>
      </c>
      <c r="AF772" s="458"/>
      <c r="AG772" s="458">
        <f t="shared" ref="AG772:AI772" si="839">SUM(AG770:AG771)</f>
        <v>26710000</v>
      </c>
      <c r="AH772" s="458">
        <f t="shared" si="839"/>
        <v>40065000</v>
      </c>
      <c r="AI772" s="458">
        <f t="shared" si="839"/>
        <v>40065000</v>
      </c>
      <c r="AJ772" s="770">
        <f>AI772/AH772*100</f>
        <v>100</v>
      </c>
    </row>
    <row r="773" spans="1:36" ht="14" customHeight="1">
      <c r="A773" s="40"/>
      <c r="B773" s="40"/>
      <c r="C773" s="124"/>
      <c r="D773" s="124"/>
      <c r="E773" s="124"/>
      <c r="F773" s="41"/>
      <c r="G773" s="41"/>
      <c r="H773" s="66"/>
      <c r="I773" s="41"/>
      <c r="J773" s="126"/>
      <c r="K773" s="204"/>
      <c r="L773" s="205"/>
      <c r="M773" s="205"/>
      <c r="N773" s="205"/>
      <c r="O773" s="205"/>
      <c r="P773" s="205"/>
      <c r="Q773" s="205"/>
      <c r="R773" s="205"/>
      <c r="S773" s="205"/>
      <c r="T773" s="205"/>
      <c r="U773" s="205"/>
      <c r="V773" s="205"/>
      <c r="W773" s="205"/>
      <c r="X773" s="205"/>
      <c r="Y773" s="205"/>
      <c r="Z773" s="205"/>
      <c r="AA773" s="205"/>
      <c r="AB773" s="205"/>
      <c r="AC773" s="205"/>
      <c r="AD773" s="205"/>
      <c r="AE773" s="205"/>
      <c r="AF773" s="205"/>
      <c r="AG773" s="205"/>
      <c r="AH773" s="205"/>
      <c r="AI773" s="205"/>
      <c r="AJ773" s="747"/>
    </row>
    <row r="774" spans="1:36" ht="14" customHeight="1">
      <c r="A774" s="677"/>
      <c r="B774" s="677">
        <v>10</v>
      </c>
      <c r="C774" s="465"/>
      <c r="D774" s="465"/>
      <c r="E774" s="465"/>
      <c r="F774" s="481"/>
      <c r="G774" s="943" t="s">
        <v>656</v>
      </c>
      <c r="H774" s="943"/>
      <c r="I774" s="936"/>
      <c r="J774" s="452"/>
      <c r="K774" s="453"/>
      <c r="L774" s="454"/>
      <c r="M774" s="454"/>
      <c r="N774" s="454"/>
      <c r="O774" s="454"/>
      <c r="P774" s="454"/>
      <c r="Q774" s="454"/>
      <c r="R774" s="454"/>
      <c r="S774" s="454"/>
      <c r="T774" s="454"/>
      <c r="U774" s="454"/>
      <c r="V774" s="454"/>
      <c r="W774" s="454"/>
      <c r="X774" s="454"/>
      <c r="Y774" s="454"/>
      <c r="Z774" s="454"/>
      <c r="AA774" s="454"/>
      <c r="AB774" s="454"/>
      <c r="AC774" s="454"/>
      <c r="AD774" s="454"/>
      <c r="AE774" s="454"/>
      <c r="AF774" s="454"/>
      <c r="AG774" s="454"/>
      <c r="AH774" s="454"/>
      <c r="AI774" s="454"/>
      <c r="AJ774" s="769"/>
    </row>
    <row r="775" spans="1:36" ht="14" customHeight="1">
      <c r="A775" s="677"/>
      <c r="B775" s="677"/>
      <c r="C775" s="465">
        <v>1</v>
      </c>
      <c r="D775" s="465"/>
      <c r="E775" s="465"/>
      <c r="F775" s="125"/>
      <c r="G775" s="481"/>
      <c r="H775" s="66" t="s">
        <v>35</v>
      </c>
      <c r="I775" s="125"/>
      <c r="J775" s="452"/>
      <c r="K775" s="453"/>
      <c r="L775" s="454"/>
      <c r="M775" s="454"/>
      <c r="N775" s="454"/>
      <c r="O775" s="454"/>
      <c r="P775" s="454"/>
      <c r="Q775" s="454"/>
      <c r="R775" s="454"/>
      <c r="S775" s="454"/>
      <c r="T775" s="454"/>
      <c r="U775" s="454"/>
      <c r="V775" s="454"/>
      <c r="W775" s="454"/>
      <c r="X775" s="454"/>
      <c r="Y775" s="454"/>
      <c r="Z775" s="454"/>
      <c r="AA775" s="454"/>
      <c r="AB775" s="454"/>
      <c r="AC775" s="454"/>
      <c r="AD775" s="454"/>
      <c r="AE775" s="454"/>
      <c r="AF775" s="454"/>
      <c r="AG775" s="454"/>
      <c r="AH775" s="454"/>
      <c r="AI775" s="454"/>
      <c r="AJ775" s="769"/>
    </row>
    <row r="776" spans="1:36" ht="14" customHeight="1">
      <c r="A776" s="677"/>
      <c r="B776" s="677"/>
      <c r="C776" s="465"/>
      <c r="D776" s="465">
        <v>3</v>
      </c>
      <c r="E776" s="465" t="s">
        <v>199</v>
      </c>
      <c r="F776" s="125"/>
      <c r="G776" s="481"/>
      <c r="H776" s="125"/>
      <c r="I776" s="66" t="s">
        <v>116</v>
      </c>
      <c r="J776" s="452">
        <v>124280635</v>
      </c>
      <c r="K776" s="453"/>
      <c r="L776" s="217"/>
      <c r="M776" s="217">
        <v>44339000</v>
      </c>
      <c r="N776" s="217"/>
      <c r="O776" s="217"/>
      <c r="P776" s="217"/>
      <c r="Q776" s="217">
        <v>54191000</v>
      </c>
      <c r="R776" s="217"/>
      <c r="S776" s="217">
        <f t="shared" ref="S776" si="840">SUM(M776:R776)</f>
        <v>98530000</v>
      </c>
      <c r="T776" s="217"/>
      <c r="U776" s="217"/>
      <c r="V776" s="217"/>
      <c r="W776" s="217"/>
      <c r="X776" s="217">
        <v>410000</v>
      </c>
      <c r="Y776" s="217"/>
      <c r="Z776" s="217">
        <f>SUM(U776:Y776)</f>
        <v>410000</v>
      </c>
      <c r="AA776" s="217">
        <f>Z776+T776</f>
        <v>410000</v>
      </c>
      <c r="AB776" s="217"/>
      <c r="AC776" s="217"/>
      <c r="AD776" s="217"/>
      <c r="AE776" s="217">
        <v>239000</v>
      </c>
      <c r="AF776" s="217"/>
      <c r="AG776" s="217">
        <f t="shared" ref="AG776" si="841">SUM(AB776:AF776)</f>
        <v>239000</v>
      </c>
      <c r="AH776" s="217">
        <f t="shared" ref="AH776" si="842">AG776+AA776</f>
        <v>649000</v>
      </c>
      <c r="AI776" s="217">
        <v>410000</v>
      </c>
      <c r="AJ776" s="764">
        <f>AI776/AH776*100</f>
        <v>63.174114021571647</v>
      </c>
    </row>
    <row r="777" spans="1:36" ht="6.5" customHeight="1">
      <c r="A777" s="677"/>
      <c r="B777" s="677"/>
      <c r="C777" s="465"/>
      <c r="D777" s="465"/>
      <c r="E777" s="465"/>
      <c r="F777" s="125"/>
      <c r="G777" s="481"/>
      <c r="H777" s="125"/>
      <c r="I777" s="66"/>
      <c r="J777" s="452"/>
      <c r="K777" s="453"/>
      <c r="L777" s="217"/>
      <c r="M777" s="217"/>
      <c r="N777" s="217"/>
      <c r="O777" s="217"/>
      <c r="P777" s="217"/>
      <c r="Q777" s="217"/>
      <c r="R777" s="217"/>
      <c r="S777" s="217"/>
      <c r="T777" s="217"/>
      <c r="U777" s="217"/>
      <c r="V777" s="217"/>
      <c r="W777" s="217"/>
      <c r="X777" s="217"/>
      <c r="Y777" s="217"/>
      <c r="Z777" s="217"/>
      <c r="AA777" s="217"/>
      <c r="AB777" s="217"/>
      <c r="AC777" s="217"/>
      <c r="AD777" s="217"/>
      <c r="AE777" s="217"/>
      <c r="AF777" s="217"/>
      <c r="AG777" s="217"/>
      <c r="AH777" s="217"/>
      <c r="AI777" s="217"/>
      <c r="AJ777" s="764"/>
    </row>
    <row r="778" spans="1:36" ht="14" customHeight="1">
      <c r="A778" s="40"/>
      <c r="B778" s="40"/>
      <c r="C778" s="124"/>
      <c r="D778" s="124"/>
      <c r="E778" s="124"/>
      <c r="F778" s="173"/>
      <c r="G778" s="64"/>
      <c r="H778" s="65"/>
      <c r="I778" s="64" t="s">
        <v>38</v>
      </c>
      <c r="J778" s="333">
        <f>SUM(J771:J777)</f>
        <v>1242806350</v>
      </c>
      <c r="K778" s="457"/>
      <c r="L778" s="458"/>
      <c r="M778" s="458">
        <f>SUM(M776:M777)</f>
        <v>44339000</v>
      </c>
      <c r="N778" s="458">
        <f t="shared" ref="N778:T778" si="843">SUM(N776:N777)</f>
        <v>0</v>
      </c>
      <c r="O778" s="458">
        <f t="shared" si="843"/>
        <v>0</v>
      </c>
      <c r="P778" s="458">
        <f t="shared" si="843"/>
        <v>0</v>
      </c>
      <c r="Q778" s="458">
        <f t="shared" si="843"/>
        <v>54191000</v>
      </c>
      <c r="R778" s="458">
        <f t="shared" si="843"/>
        <v>0</v>
      </c>
      <c r="S778" s="458">
        <f t="shared" si="843"/>
        <v>98530000</v>
      </c>
      <c r="T778" s="458">
        <f t="shared" si="843"/>
        <v>0</v>
      </c>
      <c r="U778" s="458"/>
      <c r="V778" s="458"/>
      <c r="W778" s="458"/>
      <c r="X778" s="458">
        <f t="shared" ref="X778" si="844">SUM(X776:X777)</f>
        <v>410000</v>
      </c>
      <c r="Y778" s="458"/>
      <c r="Z778" s="458">
        <f t="shared" ref="Z778:AA778" si="845">SUM(Z776:Z777)</f>
        <v>410000</v>
      </c>
      <c r="AA778" s="458">
        <f t="shared" si="845"/>
        <v>410000</v>
      </c>
      <c r="AB778" s="458"/>
      <c r="AC778" s="458"/>
      <c r="AD778" s="458"/>
      <c r="AE778" s="458">
        <f t="shared" ref="AE778" si="846">SUM(AE776:AE777)</f>
        <v>239000</v>
      </c>
      <c r="AF778" s="458"/>
      <c r="AG778" s="458">
        <f t="shared" ref="AG778:AH778" si="847">SUM(AG776:AG777)</f>
        <v>239000</v>
      </c>
      <c r="AH778" s="458">
        <f t="shared" si="847"/>
        <v>649000</v>
      </c>
      <c r="AI778" s="458">
        <f t="shared" ref="AI778" si="848">SUM(AI776:AI777)</f>
        <v>410000</v>
      </c>
      <c r="AJ778" s="770">
        <f>AI778/AH778*100</f>
        <v>63.174114021571647</v>
      </c>
    </row>
    <row r="779" spans="1:36" ht="14" customHeight="1">
      <c r="A779" s="40"/>
      <c r="B779" s="40"/>
      <c r="C779" s="124"/>
      <c r="D779" s="124"/>
      <c r="E779" s="124"/>
      <c r="F779" s="41"/>
      <c r="G779" s="41"/>
      <c r="H779" s="66"/>
      <c r="I779" s="41"/>
      <c r="J779" s="126"/>
      <c r="K779" s="204"/>
      <c r="L779" s="205"/>
      <c r="M779" s="205"/>
      <c r="N779" s="205"/>
      <c r="O779" s="205"/>
      <c r="P779" s="205"/>
      <c r="Q779" s="205"/>
      <c r="R779" s="205"/>
      <c r="S779" s="205"/>
      <c r="T779" s="205"/>
      <c r="U779" s="205"/>
      <c r="V779" s="205"/>
      <c r="W779" s="205"/>
      <c r="X779" s="205"/>
      <c r="Y779" s="205"/>
      <c r="Z779" s="205"/>
      <c r="AA779" s="205"/>
      <c r="AB779" s="205"/>
      <c r="AC779" s="205"/>
      <c r="AD779" s="205"/>
      <c r="AE779" s="205"/>
      <c r="AF779" s="205"/>
      <c r="AG779" s="205"/>
      <c r="AH779" s="205"/>
      <c r="AI779" s="205"/>
      <c r="AJ779" s="747"/>
    </row>
    <row r="780" spans="1:36" ht="29" customHeight="1">
      <c r="A780" s="718"/>
      <c r="B780" s="718">
        <v>11</v>
      </c>
      <c r="C780" s="465"/>
      <c r="D780" s="465"/>
      <c r="E780" s="465"/>
      <c r="F780" s="481"/>
      <c r="G780" s="943" t="s">
        <v>691</v>
      </c>
      <c r="H780" s="943"/>
      <c r="I780" s="936"/>
      <c r="J780" s="452"/>
      <c r="K780" s="453"/>
      <c r="L780" s="454"/>
      <c r="M780" s="454"/>
      <c r="N780" s="454"/>
      <c r="O780" s="454"/>
      <c r="P780" s="454"/>
      <c r="Q780" s="454"/>
      <c r="R780" s="454"/>
      <c r="S780" s="454"/>
      <c r="T780" s="454"/>
      <c r="U780" s="454"/>
      <c r="V780" s="454"/>
      <c r="W780" s="454"/>
      <c r="X780" s="454"/>
      <c r="Y780" s="454"/>
      <c r="Z780" s="454"/>
      <c r="AA780" s="454"/>
      <c r="AB780" s="454"/>
      <c r="AC780" s="454"/>
      <c r="AD780" s="454"/>
      <c r="AE780" s="454"/>
      <c r="AF780" s="454"/>
      <c r="AG780" s="454"/>
      <c r="AH780" s="454"/>
      <c r="AI780" s="454"/>
      <c r="AJ780" s="769"/>
    </row>
    <row r="781" spans="1:36" ht="14" customHeight="1">
      <c r="A781" s="718"/>
      <c r="B781" s="718"/>
      <c r="C781" s="465">
        <v>1</v>
      </c>
      <c r="D781" s="465"/>
      <c r="E781" s="465"/>
      <c r="F781" s="125"/>
      <c r="G781" s="481"/>
      <c r="H781" s="66" t="s">
        <v>35</v>
      </c>
      <c r="I781" s="125"/>
      <c r="J781" s="452"/>
      <c r="K781" s="453"/>
      <c r="L781" s="454"/>
      <c r="M781" s="454"/>
      <c r="N781" s="454"/>
      <c r="O781" s="454"/>
      <c r="P781" s="454"/>
      <c r="Q781" s="454"/>
      <c r="R781" s="454"/>
      <c r="S781" s="454"/>
      <c r="T781" s="454"/>
      <c r="U781" s="454"/>
      <c r="V781" s="454"/>
      <c r="W781" s="454"/>
      <c r="X781" s="454"/>
      <c r="Y781" s="454"/>
      <c r="Z781" s="454"/>
      <c r="AA781" s="454"/>
      <c r="AB781" s="454"/>
      <c r="AC781" s="454"/>
      <c r="AD781" s="454"/>
      <c r="AE781" s="454"/>
      <c r="AF781" s="454"/>
      <c r="AG781" s="454"/>
      <c r="AH781" s="454"/>
      <c r="AI781" s="454"/>
      <c r="AJ781" s="769"/>
    </row>
    <row r="782" spans="1:36" ht="14" customHeight="1">
      <c r="A782" s="718"/>
      <c r="B782" s="718"/>
      <c r="C782" s="465"/>
      <c r="D782" s="465">
        <v>3</v>
      </c>
      <c r="E782" s="465" t="s">
        <v>199</v>
      </c>
      <c r="F782" s="125"/>
      <c r="G782" s="481"/>
      <c r="H782" s="125"/>
      <c r="I782" s="66" t="s">
        <v>116</v>
      </c>
      <c r="J782" s="452">
        <v>124280635</v>
      </c>
      <c r="K782" s="453"/>
      <c r="L782" s="217"/>
      <c r="M782" s="217">
        <v>44339000</v>
      </c>
      <c r="N782" s="217"/>
      <c r="O782" s="217"/>
      <c r="P782" s="217"/>
      <c r="Q782" s="217">
        <v>54191000</v>
      </c>
      <c r="R782" s="217"/>
      <c r="S782" s="217">
        <f t="shared" ref="S782" si="849">SUM(M782:R782)</f>
        <v>98530000</v>
      </c>
      <c r="T782" s="217"/>
      <c r="U782" s="217"/>
      <c r="V782" s="217"/>
      <c r="W782" s="217"/>
      <c r="X782" s="217">
        <v>410000</v>
      </c>
      <c r="Y782" s="217"/>
      <c r="Z782" s="217">
        <f>SUM(U782:Y782)</f>
        <v>410000</v>
      </c>
      <c r="AA782" s="217"/>
      <c r="AB782" s="217"/>
      <c r="AC782" s="217"/>
      <c r="AD782" s="217"/>
      <c r="AE782" s="217">
        <v>9699000</v>
      </c>
      <c r="AF782" s="217"/>
      <c r="AG782" s="217">
        <f t="shared" ref="AG782" si="850">SUM(AB782:AF782)</f>
        <v>9699000</v>
      </c>
      <c r="AH782" s="217">
        <f t="shared" ref="AH782" si="851">AG782+AA782</f>
        <v>9699000</v>
      </c>
      <c r="AI782" s="217">
        <v>9699000</v>
      </c>
      <c r="AJ782" s="764">
        <f>AI782/AH782*100</f>
        <v>100</v>
      </c>
    </row>
    <row r="783" spans="1:36" ht="6.5" customHeight="1">
      <c r="A783" s="718"/>
      <c r="B783" s="718"/>
      <c r="C783" s="465"/>
      <c r="D783" s="465"/>
      <c r="E783" s="465"/>
      <c r="F783" s="125"/>
      <c r="G783" s="481"/>
      <c r="H783" s="125"/>
      <c r="I783" s="66"/>
      <c r="J783" s="452"/>
      <c r="K783" s="453"/>
      <c r="L783" s="217"/>
      <c r="M783" s="217"/>
      <c r="N783" s="217"/>
      <c r="O783" s="217"/>
      <c r="P783" s="217"/>
      <c r="Q783" s="217"/>
      <c r="R783" s="217"/>
      <c r="S783" s="217"/>
      <c r="T783" s="217"/>
      <c r="U783" s="217"/>
      <c r="V783" s="217"/>
      <c r="W783" s="217"/>
      <c r="X783" s="217"/>
      <c r="Y783" s="217"/>
      <c r="Z783" s="217"/>
      <c r="AA783" s="217"/>
      <c r="AB783" s="217"/>
      <c r="AC783" s="217"/>
      <c r="AD783" s="217"/>
      <c r="AE783" s="217"/>
      <c r="AF783" s="217"/>
      <c r="AG783" s="217"/>
      <c r="AH783" s="217"/>
      <c r="AI783" s="217"/>
      <c r="AJ783" s="764"/>
    </row>
    <row r="784" spans="1:36" ht="14" customHeight="1">
      <c r="A784" s="40"/>
      <c r="B784" s="40"/>
      <c r="C784" s="124"/>
      <c r="D784" s="124"/>
      <c r="E784" s="124"/>
      <c r="F784" s="173"/>
      <c r="G784" s="64"/>
      <c r="H784" s="65"/>
      <c r="I784" s="64" t="s">
        <v>38</v>
      </c>
      <c r="J784" s="333">
        <f>SUM(J777:J783)</f>
        <v>1367086985</v>
      </c>
      <c r="K784" s="457"/>
      <c r="L784" s="458"/>
      <c r="M784" s="458">
        <f>SUM(M782:M783)</f>
        <v>44339000</v>
      </c>
      <c r="N784" s="458">
        <f t="shared" ref="N784:T784" si="852">SUM(N782:N783)</f>
        <v>0</v>
      </c>
      <c r="O784" s="458">
        <f t="shared" si="852"/>
        <v>0</v>
      </c>
      <c r="P784" s="458">
        <f t="shared" si="852"/>
        <v>0</v>
      </c>
      <c r="Q784" s="458">
        <f t="shared" si="852"/>
        <v>54191000</v>
      </c>
      <c r="R784" s="458">
        <f t="shared" si="852"/>
        <v>0</v>
      </c>
      <c r="S784" s="458">
        <f t="shared" si="852"/>
        <v>98530000</v>
      </c>
      <c r="T784" s="458">
        <f t="shared" si="852"/>
        <v>0</v>
      </c>
      <c r="U784" s="458"/>
      <c r="V784" s="458"/>
      <c r="W784" s="458"/>
      <c r="X784" s="458">
        <f t="shared" ref="X784" si="853">SUM(X782:X783)</f>
        <v>410000</v>
      </c>
      <c r="Y784" s="458"/>
      <c r="Z784" s="458">
        <f t="shared" ref="Z784:AA784" si="854">SUM(Z782:Z783)</f>
        <v>410000</v>
      </c>
      <c r="AA784" s="458">
        <f t="shared" si="854"/>
        <v>0</v>
      </c>
      <c r="AB784" s="458"/>
      <c r="AC784" s="458"/>
      <c r="AD784" s="458"/>
      <c r="AE784" s="458">
        <f t="shared" ref="AE784" si="855">SUM(AE782:AE783)</f>
        <v>9699000</v>
      </c>
      <c r="AF784" s="458"/>
      <c r="AG784" s="458">
        <f t="shared" ref="AG784:AI784" si="856">SUM(AG782:AG783)</f>
        <v>9699000</v>
      </c>
      <c r="AH784" s="458">
        <f t="shared" si="856"/>
        <v>9699000</v>
      </c>
      <c r="AI784" s="458">
        <f t="shared" si="856"/>
        <v>9699000</v>
      </c>
      <c r="AJ784" s="770">
        <f>AI784/AH784*100</f>
        <v>100</v>
      </c>
    </row>
    <row r="785" spans="1:36" ht="14" customHeight="1">
      <c r="A785" s="40"/>
      <c r="B785" s="40"/>
      <c r="C785" s="124"/>
      <c r="D785" s="124"/>
      <c r="E785" s="124"/>
      <c r="F785" s="41"/>
      <c r="G785" s="41"/>
      <c r="H785" s="66"/>
      <c r="I785" s="41"/>
      <c r="J785" s="126"/>
      <c r="K785" s="204"/>
      <c r="L785" s="205"/>
      <c r="M785" s="205"/>
      <c r="N785" s="205"/>
      <c r="O785" s="205"/>
      <c r="P785" s="205"/>
      <c r="Q785" s="205"/>
      <c r="R785" s="205"/>
      <c r="S785" s="205"/>
      <c r="T785" s="205"/>
      <c r="U785" s="205"/>
      <c r="V785" s="205"/>
      <c r="W785" s="205"/>
      <c r="X785" s="205"/>
      <c r="Y785" s="205"/>
      <c r="Z785" s="205"/>
      <c r="AA785" s="205"/>
      <c r="AB785" s="205"/>
      <c r="AC785" s="205"/>
      <c r="AD785" s="205"/>
      <c r="AE785" s="205"/>
      <c r="AF785" s="205"/>
      <c r="AG785" s="205"/>
      <c r="AH785" s="205"/>
      <c r="AI785" s="205"/>
      <c r="AJ785" s="747"/>
    </row>
    <row r="786" spans="1:36" ht="14">
      <c r="A786" s="718"/>
      <c r="B786" s="718">
        <v>12</v>
      </c>
      <c r="C786" s="465"/>
      <c r="D786" s="465"/>
      <c r="E786" s="465"/>
      <c r="F786" s="481"/>
      <c r="G786" s="943" t="s">
        <v>692</v>
      </c>
      <c r="H786" s="943"/>
      <c r="I786" s="936"/>
      <c r="J786" s="452"/>
      <c r="K786" s="453"/>
      <c r="L786" s="454"/>
      <c r="M786" s="454"/>
      <c r="N786" s="454"/>
      <c r="O786" s="454"/>
      <c r="P786" s="454"/>
      <c r="Q786" s="454"/>
      <c r="R786" s="454"/>
      <c r="S786" s="454"/>
      <c r="T786" s="454"/>
      <c r="U786" s="454"/>
      <c r="V786" s="454"/>
      <c r="W786" s="454"/>
      <c r="X786" s="454"/>
      <c r="Y786" s="454"/>
      <c r="Z786" s="454"/>
      <c r="AA786" s="454"/>
      <c r="AB786" s="454"/>
      <c r="AC786" s="454"/>
      <c r="AD786" s="454"/>
      <c r="AE786" s="454"/>
      <c r="AF786" s="454"/>
      <c r="AG786" s="454"/>
      <c r="AH786" s="454"/>
      <c r="AI786" s="454"/>
      <c r="AJ786" s="769"/>
    </row>
    <row r="787" spans="1:36" ht="14" customHeight="1">
      <c r="A787" s="718"/>
      <c r="B787" s="718"/>
      <c r="C787" s="465">
        <v>1</v>
      </c>
      <c r="D787" s="465"/>
      <c r="E787" s="465"/>
      <c r="F787" s="125"/>
      <c r="G787" s="481"/>
      <c r="H787" s="66" t="s">
        <v>35</v>
      </c>
      <c r="I787" s="125"/>
      <c r="J787" s="452"/>
      <c r="K787" s="453"/>
      <c r="L787" s="454"/>
      <c r="M787" s="454"/>
      <c r="N787" s="454"/>
      <c r="O787" s="454"/>
      <c r="P787" s="454"/>
      <c r="Q787" s="454"/>
      <c r="R787" s="454"/>
      <c r="S787" s="454"/>
      <c r="T787" s="454"/>
      <c r="U787" s="454"/>
      <c r="V787" s="454"/>
      <c r="W787" s="454"/>
      <c r="X787" s="454"/>
      <c r="Y787" s="454"/>
      <c r="Z787" s="454"/>
      <c r="AA787" s="454"/>
      <c r="AB787" s="454"/>
      <c r="AC787" s="454"/>
      <c r="AD787" s="454"/>
      <c r="AE787" s="454"/>
      <c r="AF787" s="454"/>
      <c r="AG787" s="454"/>
      <c r="AH787" s="454"/>
      <c r="AI787" s="454"/>
      <c r="AJ787" s="769"/>
    </row>
    <row r="788" spans="1:36" ht="14" customHeight="1">
      <c r="A788" s="718"/>
      <c r="B788" s="718"/>
      <c r="C788" s="465"/>
      <c r="D788" s="465">
        <v>3</v>
      </c>
      <c r="E788" s="465" t="s">
        <v>199</v>
      </c>
      <c r="F788" s="125"/>
      <c r="G788" s="481"/>
      <c r="H788" s="125"/>
      <c r="I788" s="66" t="s">
        <v>116</v>
      </c>
      <c r="J788" s="452">
        <v>124280635</v>
      </c>
      <c r="K788" s="453"/>
      <c r="L788" s="217"/>
      <c r="M788" s="217">
        <v>44339000</v>
      </c>
      <c r="N788" s="217"/>
      <c r="O788" s="217"/>
      <c r="P788" s="217"/>
      <c r="Q788" s="217">
        <v>54191000</v>
      </c>
      <c r="R788" s="217"/>
      <c r="S788" s="217">
        <f t="shared" ref="S788" si="857">SUM(M788:R788)</f>
        <v>98530000</v>
      </c>
      <c r="T788" s="217"/>
      <c r="U788" s="217"/>
      <c r="V788" s="217"/>
      <c r="W788" s="217"/>
      <c r="X788" s="217">
        <v>410000</v>
      </c>
      <c r="Y788" s="217"/>
      <c r="Z788" s="217">
        <f>SUM(U788:Y788)</f>
        <v>410000</v>
      </c>
      <c r="AA788" s="217"/>
      <c r="AB788" s="217"/>
      <c r="AC788" s="217"/>
      <c r="AD788" s="217"/>
      <c r="AE788" s="217">
        <v>3226000</v>
      </c>
      <c r="AF788" s="217"/>
      <c r="AG788" s="217">
        <f t="shared" ref="AG788" si="858">SUM(AB788:AF788)</f>
        <v>3226000</v>
      </c>
      <c r="AH788" s="217">
        <f t="shared" ref="AH788" si="859">AG788+AA788</f>
        <v>3226000</v>
      </c>
      <c r="AI788" s="217">
        <v>3226000</v>
      </c>
      <c r="AJ788" s="764">
        <f>AI788/AH788*100</f>
        <v>100</v>
      </c>
    </row>
    <row r="789" spans="1:36" ht="6.5" customHeight="1">
      <c r="A789" s="718"/>
      <c r="B789" s="718"/>
      <c r="C789" s="465"/>
      <c r="D789" s="465"/>
      <c r="E789" s="465"/>
      <c r="F789" s="125"/>
      <c r="G789" s="481"/>
      <c r="H789" s="125"/>
      <c r="I789" s="66"/>
      <c r="J789" s="452"/>
      <c r="K789" s="453"/>
      <c r="L789" s="217"/>
      <c r="M789" s="217"/>
      <c r="N789" s="217"/>
      <c r="O789" s="217"/>
      <c r="P789" s="217"/>
      <c r="Q789" s="217"/>
      <c r="R789" s="217"/>
      <c r="S789" s="217"/>
      <c r="T789" s="217"/>
      <c r="U789" s="217"/>
      <c r="V789" s="217"/>
      <c r="W789" s="217"/>
      <c r="X789" s="217"/>
      <c r="Y789" s="217"/>
      <c r="Z789" s="217"/>
      <c r="AA789" s="217"/>
      <c r="AB789" s="217"/>
      <c r="AC789" s="217"/>
      <c r="AD789" s="217"/>
      <c r="AE789" s="217"/>
      <c r="AF789" s="217"/>
      <c r="AG789" s="217"/>
      <c r="AH789" s="217"/>
      <c r="AI789" s="217"/>
      <c r="AJ789" s="764"/>
    </row>
    <row r="790" spans="1:36" ht="14" customHeight="1">
      <c r="A790" s="40"/>
      <c r="B790" s="40"/>
      <c r="C790" s="124"/>
      <c r="D790" s="124"/>
      <c r="E790" s="124"/>
      <c r="F790" s="173"/>
      <c r="G790" s="64"/>
      <c r="H790" s="65"/>
      <c r="I790" s="64" t="s">
        <v>38</v>
      </c>
      <c r="J790" s="333">
        <f>SUM(J783:J789)</f>
        <v>1491367620</v>
      </c>
      <c r="K790" s="457"/>
      <c r="L790" s="458"/>
      <c r="M790" s="458">
        <f>SUM(M788:M789)</f>
        <v>44339000</v>
      </c>
      <c r="N790" s="458">
        <f t="shared" ref="N790:T790" si="860">SUM(N788:N789)</f>
        <v>0</v>
      </c>
      <c r="O790" s="458">
        <f t="shared" si="860"/>
        <v>0</v>
      </c>
      <c r="P790" s="458">
        <f t="shared" si="860"/>
        <v>0</v>
      </c>
      <c r="Q790" s="458">
        <f t="shared" si="860"/>
        <v>54191000</v>
      </c>
      <c r="R790" s="458">
        <f t="shared" si="860"/>
        <v>0</v>
      </c>
      <c r="S790" s="458">
        <f t="shared" si="860"/>
        <v>98530000</v>
      </c>
      <c r="T790" s="458">
        <f t="shared" si="860"/>
        <v>0</v>
      </c>
      <c r="U790" s="458"/>
      <c r="V790" s="458"/>
      <c r="W790" s="458"/>
      <c r="X790" s="458">
        <f t="shared" ref="X790" si="861">SUM(X788:X789)</f>
        <v>410000</v>
      </c>
      <c r="Y790" s="458"/>
      <c r="Z790" s="458">
        <f t="shared" ref="Z790:AA790" si="862">SUM(Z788:Z789)</f>
        <v>410000</v>
      </c>
      <c r="AA790" s="458">
        <f t="shared" si="862"/>
        <v>0</v>
      </c>
      <c r="AB790" s="458"/>
      <c r="AC790" s="458"/>
      <c r="AD790" s="458"/>
      <c r="AE790" s="458">
        <f t="shared" ref="AE790" si="863">SUM(AE788:AE789)</f>
        <v>3226000</v>
      </c>
      <c r="AF790" s="458"/>
      <c r="AG790" s="458">
        <f t="shared" ref="AG790:AI790" si="864">SUM(AG788:AG789)</f>
        <v>3226000</v>
      </c>
      <c r="AH790" s="458">
        <f t="shared" si="864"/>
        <v>3226000</v>
      </c>
      <c r="AI790" s="458">
        <f t="shared" si="864"/>
        <v>3226000</v>
      </c>
      <c r="AJ790" s="770">
        <f>AI790/AH790*100</f>
        <v>100</v>
      </c>
    </row>
    <row r="791" spans="1:36" ht="14" customHeight="1">
      <c r="A791" s="40"/>
      <c r="B791" s="40"/>
      <c r="C791" s="124"/>
      <c r="D791" s="124"/>
      <c r="E791" s="124"/>
      <c r="F791" s="41"/>
      <c r="G791" s="41"/>
      <c r="H791" s="66"/>
      <c r="I791" s="41"/>
      <c r="J791" s="126"/>
      <c r="K791" s="204"/>
      <c r="L791" s="205"/>
      <c r="M791" s="205"/>
      <c r="N791" s="205"/>
      <c r="O791" s="205"/>
      <c r="P791" s="205"/>
      <c r="Q791" s="205"/>
      <c r="R791" s="205"/>
      <c r="S791" s="205"/>
      <c r="T791" s="205"/>
      <c r="U791" s="205"/>
      <c r="V791" s="205"/>
      <c r="W791" s="205"/>
      <c r="X791" s="205"/>
      <c r="Y791" s="205"/>
      <c r="Z791" s="205"/>
      <c r="AA791" s="205"/>
      <c r="AB791" s="205"/>
      <c r="AC791" s="205"/>
      <c r="AD791" s="205"/>
      <c r="AE791" s="205"/>
      <c r="AF791" s="205"/>
      <c r="AG791" s="205"/>
      <c r="AH791" s="205"/>
      <c r="AI791" s="205"/>
      <c r="AJ791" s="747"/>
    </row>
    <row r="792" spans="1:36" ht="14">
      <c r="A792" s="718"/>
      <c r="B792" s="718">
        <v>13</v>
      </c>
      <c r="C792" s="465"/>
      <c r="D792" s="465"/>
      <c r="E792" s="465"/>
      <c r="F792" s="481"/>
      <c r="G792" s="943" t="s">
        <v>693</v>
      </c>
      <c r="H792" s="943"/>
      <c r="I792" s="936"/>
      <c r="J792" s="452"/>
      <c r="K792" s="453"/>
      <c r="L792" s="454"/>
      <c r="M792" s="454"/>
      <c r="N792" s="454"/>
      <c r="O792" s="454"/>
      <c r="P792" s="454"/>
      <c r="Q792" s="454"/>
      <c r="R792" s="454"/>
      <c r="S792" s="454"/>
      <c r="T792" s="454"/>
      <c r="U792" s="454"/>
      <c r="V792" s="454"/>
      <c r="W792" s="454"/>
      <c r="X792" s="454"/>
      <c r="Y792" s="454"/>
      <c r="Z792" s="454"/>
      <c r="AA792" s="454"/>
      <c r="AB792" s="454"/>
      <c r="AC792" s="454"/>
      <c r="AD792" s="454"/>
      <c r="AE792" s="454"/>
      <c r="AF792" s="454"/>
      <c r="AG792" s="454"/>
      <c r="AH792" s="454"/>
      <c r="AI792" s="454"/>
      <c r="AJ792" s="769"/>
    </row>
    <row r="793" spans="1:36" ht="14" customHeight="1">
      <c r="A793" s="718"/>
      <c r="B793" s="718"/>
      <c r="C793" s="465">
        <v>1</v>
      </c>
      <c r="D793" s="465"/>
      <c r="E793" s="465"/>
      <c r="F793" s="125"/>
      <c r="G793" s="481"/>
      <c r="H793" s="66" t="s">
        <v>35</v>
      </c>
      <c r="I793" s="125"/>
      <c r="J793" s="452"/>
      <c r="K793" s="453"/>
      <c r="L793" s="454"/>
      <c r="M793" s="454"/>
      <c r="N793" s="454"/>
      <c r="O793" s="454"/>
      <c r="P793" s="454"/>
      <c r="Q793" s="454"/>
      <c r="R793" s="454"/>
      <c r="S793" s="454"/>
      <c r="T793" s="454"/>
      <c r="U793" s="454"/>
      <c r="V793" s="454"/>
      <c r="W793" s="454"/>
      <c r="X793" s="454"/>
      <c r="Y793" s="454"/>
      <c r="Z793" s="454"/>
      <c r="AA793" s="454"/>
      <c r="AB793" s="454"/>
      <c r="AC793" s="454"/>
      <c r="AD793" s="454"/>
      <c r="AE793" s="454"/>
      <c r="AF793" s="454"/>
      <c r="AG793" s="454"/>
      <c r="AH793" s="454"/>
      <c r="AI793" s="454"/>
      <c r="AJ793" s="769"/>
    </row>
    <row r="794" spans="1:36" ht="14" customHeight="1">
      <c r="A794" s="718"/>
      <c r="B794" s="718"/>
      <c r="C794" s="465"/>
      <c r="D794" s="465">
        <v>3</v>
      </c>
      <c r="E794" s="465" t="s">
        <v>199</v>
      </c>
      <c r="F794" s="125"/>
      <c r="G794" s="481"/>
      <c r="H794" s="125"/>
      <c r="I794" s="66" t="s">
        <v>116</v>
      </c>
      <c r="J794" s="452">
        <v>124280635</v>
      </c>
      <c r="K794" s="453"/>
      <c r="L794" s="217"/>
      <c r="M794" s="217">
        <v>44339000</v>
      </c>
      <c r="N794" s="217"/>
      <c r="O794" s="217"/>
      <c r="P794" s="217"/>
      <c r="Q794" s="217">
        <v>54191000</v>
      </c>
      <c r="R794" s="217"/>
      <c r="S794" s="217">
        <f t="shared" ref="S794" si="865">SUM(M794:R794)</f>
        <v>98530000</v>
      </c>
      <c r="T794" s="217"/>
      <c r="U794" s="217"/>
      <c r="V794" s="217"/>
      <c r="W794" s="217"/>
      <c r="X794" s="217">
        <v>410000</v>
      </c>
      <c r="Y794" s="217"/>
      <c r="Z794" s="217">
        <f>SUM(U794:Y794)</f>
        <v>410000</v>
      </c>
      <c r="AA794" s="217"/>
      <c r="AB794" s="217"/>
      <c r="AC794" s="217"/>
      <c r="AD794" s="217"/>
      <c r="AE794" s="217">
        <v>43000</v>
      </c>
      <c r="AF794" s="217"/>
      <c r="AG794" s="217">
        <f t="shared" ref="AG794" si="866">SUM(AB794:AF794)</f>
        <v>43000</v>
      </c>
      <c r="AH794" s="217">
        <f t="shared" ref="AH794" si="867">AG794+AA794</f>
        <v>43000</v>
      </c>
      <c r="AI794" s="217">
        <v>43000</v>
      </c>
      <c r="AJ794" s="764">
        <f>AI794/AH794*100</f>
        <v>100</v>
      </c>
    </row>
    <row r="795" spans="1:36" ht="6.5" customHeight="1">
      <c r="A795" s="718"/>
      <c r="B795" s="718"/>
      <c r="C795" s="465"/>
      <c r="D795" s="465"/>
      <c r="E795" s="465"/>
      <c r="F795" s="125"/>
      <c r="G795" s="481"/>
      <c r="H795" s="125"/>
      <c r="I795" s="66"/>
      <c r="J795" s="452"/>
      <c r="K795" s="453"/>
      <c r="L795" s="217"/>
      <c r="M795" s="217"/>
      <c r="N795" s="217"/>
      <c r="O795" s="217"/>
      <c r="P795" s="217"/>
      <c r="Q795" s="217"/>
      <c r="R795" s="217"/>
      <c r="S795" s="217"/>
      <c r="T795" s="217"/>
      <c r="U795" s="217"/>
      <c r="V795" s="217"/>
      <c r="W795" s="217"/>
      <c r="X795" s="217"/>
      <c r="Y795" s="217"/>
      <c r="Z795" s="217"/>
      <c r="AA795" s="217"/>
      <c r="AB795" s="217"/>
      <c r="AC795" s="217"/>
      <c r="AD795" s="217"/>
      <c r="AE795" s="217"/>
      <c r="AF795" s="217"/>
      <c r="AG795" s="217"/>
      <c r="AH795" s="217"/>
      <c r="AI795" s="217"/>
      <c r="AJ795" s="764"/>
    </row>
    <row r="796" spans="1:36" ht="14" customHeight="1">
      <c r="A796" s="40"/>
      <c r="B796" s="40"/>
      <c r="C796" s="124"/>
      <c r="D796" s="124"/>
      <c r="E796" s="124"/>
      <c r="F796" s="173"/>
      <c r="G796" s="64"/>
      <c r="H796" s="65"/>
      <c r="I796" s="64" t="s">
        <v>38</v>
      </c>
      <c r="J796" s="333">
        <f>SUM(J789:J795)</f>
        <v>1615648255</v>
      </c>
      <c r="K796" s="457"/>
      <c r="L796" s="458"/>
      <c r="M796" s="458">
        <f>SUM(M794:M795)</f>
        <v>44339000</v>
      </c>
      <c r="N796" s="458">
        <f t="shared" ref="N796:T796" si="868">SUM(N794:N795)</f>
        <v>0</v>
      </c>
      <c r="O796" s="458">
        <f t="shared" si="868"/>
        <v>0</v>
      </c>
      <c r="P796" s="458">
        <f t="shared" si="868"/>
        <v>0</v>
      </c>
      <c r="Q796" s="458">
        <f t="shared" si="868"/>
        <v>54191000</v>
      </c>
      <c r="R796" s="458">
        <f t="shared" si="868"/>
        <v>0</v>
      </c>
      <c r="S796" s="458">
        <f t="shared" si="868"/>
        <v>98530000</v>
      </c>
      <c r="T796" s="458">
        <f t="shared" si="868"/>
        <v>0</v>
      </c>
      <c r="U796" s="458"/>
      <c r="V796" s="458"/>
      <c r="W796" s="458"/>
      <c r="X796" s="458">
        <f t="shared" ref="X796" si="869">SUM(X794:X795)</f>
        <v>410000</v>
      </c>
      <c r="Y796" s="458"/>
      <c r="Z796" s="458">
        <f t="shared" ref="Z796:AA796" si="870">SUM(Z794:Z795)</f>
        <v>410000</v>
      </c>
      <c r="AA796" s="458">
        <f t="shared" si="870"/>
        <v>0</v>
      </c>
      <c r="AB796" s="458"/>
      <c r="AC796" s="458"/>
      <c r="AD796" s="458"/>
      <c r="AE796" s="458">
        <f t="shared" ref="AE796" si="871">SUM(AE794:AE795)</f>
        <v>43000</v>
      </c>
      <c r="AF796" s="458"/>
      <c r="AG796" s="458">
        <f t="shared" ref="AG796:AI796" si="872">SUM(AG794:AG795)</f>
        <v>43000</v>
      </c>
      <c r="AH796" s="458">
        <f t="shared" si="872"/>
        <v>43000</v>
      </c>
      <c r="AI796" s="458">
        <f t="shared" si="872"/>
        <v>43000</v>
      </c>
      <c r="AJ796" s="770">
        <f>AI796/AH796*100</f>
        <v>100</v>
      </c>
    </row>
    <row r="797" spans="1:36" ht="14" customHeight="1">
      <c r="A797" s="40"/>
      <c r="B797" s="40"/>
      <c r="C797" s="124"/>
      <c r="D797" s="124"/>
      <c r="E797" s="124"/>
      <c r="F797" s="41"/>
      <c r="G797" s="41"/>
      <c r="H797" s="66"/>
      <c r="I797" s="41"/>
      <c r="J797" s="126"/>
      <c r="K797" s="204"/>
      <c r="L797" s="205"/>
      <c r="M797" s="205"/>
      <c r="N797" s="205"/>
      <c r="O797" s="205"/>
      <c r="P797" s="205"/>
      <c r="Q797" s="205"/>
      <c r="R797" s="205"/>
      <c r="S797" s="205"/>
      <c r="T797" s="205"/>
      <c r="U797" s="205"/>
      <c r="V797" s="205"/>
      <c r="W797" s="205"/>
      <c r="X797" s="205"/>
      <c r="Y797" s="205"/>
      <c r="Z797" s="205"/>
      <c r="AA797" s="205"/>
      <c r="AB797" s="205"/>
      <c r="AC797" s="205"/>
      <c r="AD797" s="205"/>
      <c r="AE797" s="205"/>
      <c r="AF797" s="205"/>
      <c r="AG797" s="205"/>
      <c r="AH797" s="205"/>
      <c r="AI797" s="205"/>
      <c r="AJ797" s="747"/>
    </row>
    <row r="798" spans="1:36" ht="14">
      <c r="A798" s="718"/>
      <c r="B798" s="718">
        <v>14</v>
      </c>
      <c r="C798" s="465"/>
      <c r="D798" s="465"/>
      <c r="E798" s="465"/>
      <c r="F798" s="481"/>
      <c r="G798" s="943" t="s">
        <v>694</v>
      </c>
      <c r="H798" s="943"/>
      <c r="I798" s="936"/>
      <c r="J798" s="452"/>
      <c r="K798" s="453"/>
      <c r="L798" s="454"/>
      <c r="M798" s="454"/>
      <c r="N798" s="454"/>
      <c r="O798" s="454"/>
      <c r="P798" s="454"/>
      <c r="Q798" s="454"/>
      <c r="R798" s="454"/>
      <c r="S798" s="454"/>
      <c r="T798" s="454"/>
      <c r="U798" s="454"/>
      <c r="V798" s="454"/>
      <c r="W798" s="454"/>
      <c r="X798" s="454"/>
      <c r="Y798" s="454"/>
      <c r="Z798" s="454"/>
      <c r="AA798" s="454"/>
      <c r="AB798" s="454"/>
      <c r="AC798" s="454"/>
      <c r="AD798" s="454"/>
      <c r="AE798" s="454"/>
      <c r="AF798" s="454"/>
      <c r="AG798" s="454"/>
      <c r="AH798" s="454"/>
      <c r="AI798" s="454"/>
      <c r="AJ798" s="769"/>
    </row>
    <row r="799" spans="1:36" ht="14" customHeight="1">
      <c r="A799" s="718"/>
      <c r="B799" s="718"/>
      <c r="C799" s="465">
        <v>1</v>
      </c>
      <c r="D799" s="465"/>
      <c r="E799" s="465"/>
      <c r="F799" s="125"/>
      <c r="G799" s="481"/>
      <c r="H799" s="66" t="s">
        <v>35</v>
      </c>
      <c r="I799" s="125"/>
      <c r="J799" s="452"/>
      <c r="K799" s="453"/>
      <c r="L799" s="454"/>
      <c r="M799" s="454"/>
      <c r="N799" s="454"/>
      <c r="O799" s="454"/>
      <c r="P799" s="454"/>
      <c r="Q799" s="454"/>
      <c r="R799" s="454"/>
      <c r="S799" s="454"/>
      <c r="T799" s="454"/>
      <c r="U799" s="454"/>
      <c r="V799" s="454"/>
      <c r="W799" s="454"/>
      <c r="X799" s="454"/>
      <c r="Y799" s="454"/>
      <c r="Z799" s="454"/>
      <c r="AA799" s="454"/>
      <c r="AB799" s="454"/>
      <c r="AC799" s="454"/>
      <c r="AD799" s="454"/>
      <c r="AE799" s="454"/>
      <c r="AF799" s="454"/>
      <c r="AG799" s="454"/>
      <c r="AH799" s="454"/>
      <c r="AI799" s="454"/>
      <c r="AJ799" s="769"/>
    </row>
    <row r="800" spans="1:36" ht="14" customHeight="1">
      <c r="A800" s="718"/>
      <c r="B800" s="718"/>
      <c r="C800" s="465"/>
      <c r="D800" s="465">
        <v>3</v>
      </c>
      <c r="E800" s="465" t="s">
        <v>199</v>
      </c>
      <c r="F800" s="125"/>
      <c r="G800" s="481"/>
      <c r="H800" s="125"/>
      <c r="I800" s="66" t="s">
        <v>116</v>
      </c>
      <c r="J800" s="452">
        <v>124280635</v>
      </c>
      <c r="K800" s="453"/>
      <c r="L800" s="217"/>
      <c r="M800" s="217">
        <v>44339000</v>
      </c>
      <c r="N800" s="217"/>
      <c r="O800" s="217"/>
      <c r="P800" s="217"/>
      <c r="Q800" s="217">
        <v>54191000</v>
      </c>
      <c r="R800" s="217"/>
      <c r="S800" s="217">
        <f t="shared" ref="S800" si="873">SUM(M800:R800)</f>
        <v>98530000</v>
      </c>
      <c r="T800" s="217"/>
      <c r="U800" s="217"/>
      <c r="V800" s="217"/>
      <c r="W800" s="217"/>
      <c r="X800" s="217">
        <v>410000</v>
      </c>
      <c r="Y800" s="217"/>
      <c r="Z800" s="217">
        <f>SUM(U800:Y800)</f>
        <v>410000</v>
      </c>
      <c r="AA800" s="217"/>
      <c r="AB800" s="217"/>
      <c r="AC800" s="217"/>
      <c r="AD800" s="217"/>
      <c r="AE800" s="217">
        <v>45157000</v>
      </c>
      <c r="AF800" s="217"/>
      <c r="AG800" s="217">
        <f t="shared" ref="AG800" si="874">SUM(AB800:AF800)</f>
        <v>45157000</v>
      </c>
      <c r="AH800" s="217">
        <f t="shared" ref="AH800" si="875">AG800+AA800</f>
        <v>45157000</v>
      </c>
      <c r="AI800" s="217">
        <v>45157000</v>
      </c>
      <c r="AJ800" s="764">
        <f>AI800/AH800*100</f>
        <v>100</v>
      </c>
    </row>
    <row r="801" spans="1:36" ht="6.5" customHeight="1">
      <c r="A801" s="718"/>
      <c r="B801" s="718"/>
      <c r="C801" s="465"/>
      <c r="D801" s="465"/>
      <c r="E801" s="465"/>
      <c r="F801" s="125"/>
      <c r="G801" s="481"/>
      <c r="H801" s="125"/>
      <c r="I801" s="66"/>
      <c r="J801" s="452"/>
      <c r="K801" s="453"/>
      <c r="L801" s="217"/>
      <c r="M801" s="217"/>
      <c r="N801" s="217"/>
      <c r="O801" s="217"/>
      <c r="P801" s="217"/>
      <c r="Q801" s="217"/>
      <c r="R801" s="217"/>
      <c r="S801" s="217"/>
      <c r="T801" s="217"/>
      <c r="U801" s="217"/>
      <c r="V801" s="217"/>
      <c r="W801" s="217"/>
      <c r="X801" s="217"/>
      <c r="Y801" s="217"/>
      <c r="Z801" s="217"/>
      <c r="AA801" s="217"/>
      <c r="AB801" s="217"/>
      <c r="AC801" s="217"/>
      <c r="AD801" s="217"/>
      <c r="AE801" s="217"/>
      <c r="AF801" s="217"/>
      <c r="AG801" s="217"/>
      <c r="AH801" s="217"/>
      <c r="AI801" s="217"/>
      <c r="AJ801" s="764"/>
    </row>
    <row r="802" spans="1:36" ht="14" customHeight="1">
      <c r="A802" s="40"/>
      <c r="B802" s="40"/>
      <c r="C802" s="124"/>
      <c r="D802" s="124"/>
      <c r="E802" s="124"/>
      <c r="F802" s="173"/>
      <c r="G802" s="64"/>
      <c r="H802" s="65"/>
      <c r="I802" s="64" t="s">
        <v>38</v>
      </c>
      <c r="J802" s="333">
        <f>SUM(J795:J801)</f>
        <v>1739928890</v>
      </c>
      <c r="K802" s="457"/>
      <c r="L802" s="458"/>
      <c r="M802" s="458">
        <f>SUM(M800:M801)</f>
        <v>44339000</v>
      </c>
      <c r="N802" s="458">
        <f t="shared" ref="N802:T802" si="876">SUM(N800:N801)</f>
        <v>0</v>
      </c>
      <c r="O802" s="458">
        <f t="shared" si="876"/>
        <v>0</v>
      </c>
      <c r="P802" s="458">
        <f t="shared" si="876"/>
        <v>0</v>
      </c>
      <c r="Q802" s="458">
        <f t="shared" si="876"/>
        <v>54191000</v>
      </c>
      <c r="R802" s="458">
        <f t="shared" si="876"/>
        <v>0</v>
      </c>
      <c r="S802" s="458">
        <f t="shared" si="876"/>
        <v>98530000</v>
      </c>
      <c r="T802" s="458">
        <f t="shared" si="876"/>
        <v>0</v>
      </c>
      <c r="U802" s="458"/>
      <c r="V802" s="458"/>
      <c r="W802" s="458"/>
      <c r="X802" s="458">
        <f t="shared" ref="X802" si="877">SUM(X800:X801)</f>
        <v>410000</v>
      </c>
      <c r="Y802" s="458"/>
      <c r="Z802" s="458">
        <f t="shared" ref="Z802:AA802" si="878">SUM(Z800:Z801)</f>
        <v>410000</v>
      </c>
      <c r="AA802" s="458">
        <f t="shared" si="878"/>
        <v>0</v>
      </c>
      <c r="AB802" s="458"/>
      <c r="AC802" s="458"/>
      <c r="AD802" s="458"/>
      <c r="AE802" s="458">
        <f t="shared" ref="AE802" si="879">SUM(AE800:AE801)</f>
        <v>45157000</v>
      </c>
      <c r="AF802" s="458"/>
      <c r="AG802" s="458">
        <f t="shared" ref="AG802:AI802" si="880">SUM(AG800:AG801)</f>
        <v>45157000</v>
      </c>
      <c r="AH802" s="458">
        <f t="shared" si="880"/>
        <v>45157000</v>
      </c>
      <c r="AI802" s="458">
        <f t="shared" si="880"/>
        <v>45157000</v>
      </c>
      <c r="AJ802" s="770">
        <f>AI802/AH802*100</f>
        <v>100</v>
      </c>
    </row>
    <row r="803" spans="1:36" ht="14" customHeight="1">
      <c r="A803" s="40"/>
      <c r="B803" s="40"/>
      <c r="C803" s="124"/>
      <c r="D803" s="124"/>
      <c r="E803" s="124"/>
      <c r="F803" s="41"/>
      <c r="G803" s="41"/>
      <c r="H803" s="66"/>
      <c r="I803" s="41"/>
      <c r="J803" s="126"/>
      <c r="K803" s="204"/>
      <c r="L803" s="205"/>
      <c r="M803" s="205"/>
      <c r="N803" s="205"/>
      <c r="O803" s="205"/>
      <c r="P803" s="205"/>
      <c r="Q803" s="205"/>
      <c r="R803" s="205"/>
      <c r="S803" s="205"/>
      <c r="T803" s="205"/>
      <c r="U803" s="205"/>
      <c r="V803" s="205"/>
      <c r="W803" s="205"/>
      <c r="X803" s="205"/>
      <c r="Y803" s="205"/>
      <c r="Z803" s="205"/>
      <c r="AA803" s="205"/>
      <c r="AB803" s="205"/>
      <c r="AC803" s="205"/>
      <c r="AD803" s="205"/>
      <c r="AE803" s="205"/>
      <c r="AF803" s="205"/>
      <c r="AG803" s="205"/>
      <c r="AH803" s="205"/>
      <c r="AI803" s="205"/>
      <c r="AJ803" s="747"/>
    </row>
    <row r="804" spans="1:36" ht="30" customHeight="1">
      <c r="A804" s="718"/>
      <c r="B804" s="718">
        <v>15</v>
      </c>
      <c r="C804" s="465"/>
      <c r="D804" s="465"/>
      <c r="E804" s="465"/>
      <c r="F804" s="481"/>
      <c r="G804" s="943" t="s">
        <v>695</v>
      </c>
      <c r="H804" s="943"/>
      <c r="I804" s="936"/>
      <c r="J804" s="452"/>
      <c r="K804" s="453"/>
      <c r="L804" s="454"/>
      <c r="M804" s="454"/>
      <c r="N804" s="454"/>
      <c r="O804" s="454"/>
      <c r="P804" s="454"/>
      <c r="Q804" s="454"/>
      <c r="R804" s="454"/>
      <c r="S804" s="454"/>
      <c r="T804" s="454"/>
      <c r="U804" s="454"/>
      <c r="V804" s="454"/>
      <c r="W804" s="454"/>
      <c r="X804" s="454"/>
      <c r="Y804" s="454"/>
      <c r="Z804" s="454"/>
      <c r="AA804" s="454"/>
      <c r="AB804" s="454"/>
      <c r="AC804" s="454"/>
      <c r="AD804" s="454"/>
      <c r="AE804" s="454"/>
      <c r="AF804" s="454"/>
      <c r="AG804" s="454"/>
      <c r="AH804" s="454"/>
      <c r="AI804" s="454"/>
      <c r="AJ804" s="769"/>
    </row>
    <row r="805" spans="1:36" ht="14" customHeight="1">
      <c r="A805" s="718"/>
      <c r="B805" s="718"/>
      <c r="C805" s="465">
        <v>1</v>
      </c>
      <c r="D805" s="465"/>
      <c r="E805" s="465"/>
      <c r="F805" s="125"/>
      <c r="G805" s="481"/>
      <c r="H805" s="66" t="s">
        <v>35</v>
      </c>
      <c r="I805" s="125"/>
      <c r="J805" s="452"/>
      <c r="K805" s="453"/>
      <c r="L805" s="454"/>
      <c r="M805" s="454"/>
      <c r="N805" s="454"/>
      <c r="O805" s="454"/>
      <c r="P805" s="454"/>
      <c r="Q805" s="454"/>
      <c r="R805" s="454"/>
      <c r="S805" s="454"/>
      <c r="T805" s="454"/>
      <c r="U805" s="454"/>
      <c r="V805" s="454"/>
      <c r="W805" s="454"/>
      <c r="X805" s="454"/>
      <c r="Y805" s="454"/>
      <c r="Z805" s="454"/>
      <c r="AA805" s="454"/>
      <c r="AB805" s="454"/>
      <c r="AC805" s="454"/>
      <c r="AD805" s="454"/>
      <c r="AE805" s="454"/>
      <c r="AF805" s="454"/>
      <c r="AG805" s="454"/>
      <c r="AH805" s="454"/>
      <c r="AI805" s="454"/>
      <c r="AJ805" s="769"/>
    </row>
    <row r="806" spans="1:36" ht="14" customHeight="1">
      <c r="A806" s="718"/>
      <c r="B806" s="718"/>
      <c r="C806" s="465"/>
      <c r="D806" s="465">
        <v>3</v>
      </c>
      <c r="E806" s="465" t="s">
        <v>199</v>
      </c>
      <c r="F806" s="125"/>
      <c r="G806" s="481"/>
      <c r="H806" s="125"/>
      <c r="I806" s="66" t="s">
        <v>116</v>
      </c>
      <c r="J806" s="452">
        <v>124280635</v>
      </c>
      <c r="K806" s="453"/>
      <c r="L806" s="217"/>
      <c r="M806" s="217">
        <v>44339000</v>
      </c>
      <c r="N806" s="217"/>
      <c r="O806" s="217"/>
      <c r="P806" s="217"/>
      <c r="Q806" s="217">
        <v>54191000</v>
      </c>
      <c r="R806" s="217"/>
      <c r="S806" s="217">
        <f t="shared" ref="S806" si="881">SUM(M806:R806)</f>
        <v>98530000</v>
      </c>
      <c r="T806" s="217"/>
      <c r="U806" s="217"/>
      <c r="V806" s="217"/>
      <c r="W806" s="217"/>
      <c r="X806" s="217">
        <v>410000</v>
      </c>
      <c r="Y806" s="217"/>
      <c r="Z806" s="217">
        <f>SUM(U806:Y806)</f>
        <v>410000</v>
      </c>
      <c r="AA806" s="217"/>
      <c r="AB806" s="217"/>
      <c r="AC806" s="217"/>
      <c r="AD806" s="217"/>
      <c r="AE806" s="217">
        <v>6791000</v>
      </c>
      <c r="AF806" s="217"/>
      <c r="AG806" s="217">
        <f t="shared" ref="AG806" si="882">SUM(AB806:AF806)</f>
        <v>6791000</v>
      </c>
      <c r="AH806" s="217">
        <f t="shared" ref="AH806" si="883">AG806+AA806</f>
        <v>6791000</v>
      </c>
      <c r="AI806" s="217"/>
      <c r="AJ806" s="764"/>
    </row>
    <row r="807" spans="1:36" ht="6.5" customHeight="1">
      <c r="A807" s="718"/>
      <c r="B807" s="718"/>
      <c r="C807" s="465"/>
      <c r="D807" s="465"/>
      <c r="E807" s="465"/>
      <c r="F807" s="125"/>
      <c r="G807" s="481"/>
      <c r="H807" s="125"/>
      <c r="I807" s="66"/>
      <c r="J807" s="452"/>
      <c r="K807" s="453"/>
      <c r="L807" s="217"/>
      <c r="M807" s="217"/>
      <c r="N807" s="217"/>
      <c r="O807" s="217"/>
      <c r="P807" s="217"/>
      <c r="Q807" s="217"/>
      <c r="R807" s="217"/>
      <c r="S807" s="217"/>
      <c r="T807" s="217"/>
      <c r="U807" s="217"/>
      <c r="V807" s="217"/>
      <c r="W807" s="217"/>
      <c r="X807" s="217"/>
      <c r="Y807" s="217"/>
      <c r="Z807" s="217"/>
      <c r="AA807" s="217"/>
      <c r="AB807" s="217"/>
      <c r="AC807" s="217"/>
      <c r="AD807" s="217"/>
      <c r="AE807" s="217"/>
      <c r="AF807" s="217"/>
      <c r="AG807" s="217"/>
      <c r="AH807" s="217"/>
      <c r="AI807" s="217"/>
      <c r="AJ807" s="764"/>
    </row>
    <row r="808" spans="1:36" ht="14" customHeight="1">
      <c r="A808" s="40"/>
      <c r="B808" s="40"/>
      <c r="C808" s="124"/>
      <c r="D808" s="124"/>
      <c r="E808" s="124"/>
      <c r="F808" s="173"/>
      <c r="G808" s="64"/>
      <c r="H808" s="65"/>
      <c r="I808" s="64" t="s">
        <v>38</v>
      </c>
      <c r="J808" s="333">
        <f>SUM(J801:J807)</f>
        <v>1864209525</v>
      </c>
      <c r="K808" s="457"/>
      <c r="L808" s="458"/>
      <c r="M808" s="458">
        <f>SUM(M806:M807)</f>
        <v>44339000</v>
      </c>
      <c r="N808" s="458">
        <f t="shared" ref="N808:T808" si="884">SUM(N806:N807)</f>
        <v>0</v>
      </c>
      <c r="O808" s="458">
        <f t="shared" si="884"/>
        <v>0</v>
      </c>
      <c r="P808" s="458">
        <f t="shared" si="884"/>
        <v>0</v>
      </c>
      <c r="Q808" s="458">
        <f t="shared" si="884"/>
        <v>54191000</v>
      </c>
      <c r="R808" s="458">
        <f t="shared" si="884"/>
        <v>0</v>
      </c>
      <c r="S808" s="458">
        <f t="shared" si="884"/>
        <v>98530000</v>
      </c>
      <c r="T808" s="458">
        <f t="shared" si="884"/>
        <v>0</v>
      </c>
      <c r="U808" s="458"/>
      <c r="V808" s="458"/>
      <c r="W808" s="458"/>
      <c r="X808" s="458">
        <f t="shared" ref="X808" si="885">SUM(X806:X807)</f>
        <v>410000</v>
      </c>
      <c r="Y808" s="458"/>
      <c r="Z808" s="458">
        <f t="shared" ref="Z808:AA808" si="886">SUM(Z806:Z807)</f>
        <v>410000</v>
      </c>
      <c r="AA808" s="458">
        <f t="shared" si="886"/>
        <v>0</v>
      </c>
      <c r="AB808" s="458"/>
      <c r="AC808" s="458"/>
      <c r="AD808" s="458"/>
      <c r="AE808" s="458">
        <f t="shared" ref="AE808" si="887">SUM(AE806:AE807)</f>
        <v>6791000</v>
      </c>
      <c r="AF808" s="458"/>
      <c r="AG808" s="458">
        <f t="shared" ref="AG808:AH808" si="888">SUM(AG806:AG807)</f>
        <v>6791000</v>
      </c>
      <c r="AH808" s="458">
        <f t="shared" si="888"/>
        <v>6791000</v>
      </c>
      <c r="AI808" s="458"/>
      <c r="AJ808" s="770"/>
    </row>
    <row r="809" spans="1:36" ht="14" customHeight="1">
      <c r="A809" s="40"/>
      <c r="B809" s="40"/>
      <c r="C809" s="124"/>
      <c r="D809" s="124"/>
      <c r="E809" s="124"/>
      <c r="F809" s="41"/>
      <c r="G809" s="41"/>
      <c r="H809" s="66"/>
      <c r="I809" s="41"/>
      <c r="J809" s="126"/>
      <c r="K809" s="204"/>
      <c r="L809" s="205"/>
      <c r="M809" s="205"/>
      <c r="N809" s="205"/>
      <c r="O809" s="205"/>
      <c r="P809" s="205"/>
      <c r="Q809" s="205"/>
      <c r="R809" s="205"/>
      <c r="S809" s="205"/>
      <c r="T809" s="205"/>
      <c r="U809" s="205"/>
      <c r="V809" s="205"/>
      <c r="W809" s="205"/>
      <c r="X809" s="205"/>
      <c r="Y809" s="205"/>
      <c r="Z809" s="205"/>
      <c r="AA809" s="205"/>
      <c r="AB809" s="205"/>
      <c r="AC809" s="205"/>
      <c r="AD809" s="205"/>
      <c r="AE809" s="205"/>
      <c r="AF809" s="205"/>
      <c r="AG809" s="205"/>
      <c r="AH809" s="205"/>
      <c r="AI809" s="205"/>
      <c r="AJ809" s="747"/>
    </row>
    <row r="810" spans="1:36" ht="14">
      <c r="A810" s="718"/>
      <c r="B810" s="718">
        <v>16</v>
      </c>
      <c r="C810" s="465"/>
      <c r="D810" s="465"/>
      <c r="E810" s="465"/>
      <c r="F810" s="481"/>
      <c r="G810" s="943" t="s">
        <v>696</v>
      </c>
      <c r="H810" s="943"/>
      <c r="I810" s="936"/>
      <c r="J810" s="452"/>
      <c r="K810" s="453"/>
      <c r="L810" s="454"/>
      <c r="M810" s="454"/>
      <c r="N810" s="454"/>
      <c r="O810" s="454"/>
      <c r="P810" s="454"/>
      <c r="Q810" s="454"/>
      <c r="R810" s="454"/>
      <c r="S810" s="454"/>
      <c r="T810" s="454"/>
      <c r="U810" s="454"/>
      <c r="V810" s="454"/>
      <c r="W810" s="454"/>
      <c r="X810" s="454"/>
      <c r="Y810" s="454"/>
      <c r="Z810" s="454"/>
      <c r="AA810" s="454"/>
      <c r="AB810" s="454"/>
      <c r="AC810" s="454"/>
      <c r="AD810" s="454"/>
      <c r="AE810" s="454"/>
      <c r="AF810" s="454"/>
      <c r="AG810" s="454"/>
      <c r="AH810" s="454"/>
      <c r="AI810" s="454"/>
      <c r="AJ810" s="769"/>
    </row>
    <row r="811" spans="1:36" ht="14" customHeight="1">
      <c r="A811" s="718"/>
      <c r="B811" s="718"/>
      <c r="C811" s="465">
        <v>1</v>
      </c>
      <c r="D811" s="465"/>
      <c r="E811" s="465"/>
      <c r="F811" s="125"/>
      <c r="G811" s="481"/>
      <c r="H811" s="66" t="s">
        <v>35</v>
      </c>
      <c r="I811" s="125"/>
      <c r="J811" s="452"/>
      <c r="K811" s="453"/>
      <c r="L811" s="454"/>
      <c r="M811" s="454"/>
      <c r="N811" s="454"/>
      <c r="O811" s="454"/>
      <c r="P811" s="454"/>
      <c r="Q811" s="454"/>
      <c r="R811" s="454"/>
      <c r="S811" s="454"/>
      <c r="T811" s="454"/>
      <c r="U811" s="454"/>
      <c r="V811" s="454"/>
      <c r="W811" s="454"/>
      <c r="X811" s="454"/>
      <c r="Y811" s="454"/>
      <c r="Z811" s="454"/>
      <c r="AA811" s="454"/>
      <c r="AB811" s="454"/>
      <c r="AC811" s="454"/>
      <c r="AD811" s="454"/>
      <c r="AE811" s="454"/>
      <c r="AF811" s="454"/>
      <c r="AG811" s="454"/>
      <c r="AH811" s="454"/>
      <c r="AI811" s="454"/>
      <c r="AJ811" s="769"/>
    </row>
    <row r="812" spans="1:36" ht="14" customHeight="1">
      <c r="A812" s="718"/>
      <c r="B812" s="718"/>
      <c r="C812" s="465"/>
      <c r="D812" s="465">
        <v>3</v>
      </c>
      <c r="E812" s="465" t="s">
        <v>199</v>
      </c>
      <c r="F812" s="125"/>
      <c r="G812" s="481"/>
      <c r="H812" s="125"/>
      <c r="I812" s="66" t="s">
        <v>116</v>
      </c>
      <c r="J812" s="452">
        <v>124280635</v>
      </c>
      <c r="K812" s="453"/>
      <c r="L812" s="217"/>
      <c r="M812" s="217">
        <v>44339000</v>
      </c>
      <c r="N812" s="217"/>
      <c r="O812" s="217"/>
      <c r="P812" s="217"/>
      <c r="Q812" s="217">
        <v>54191000</v>
      </c>
      <c r="R812" s="217"/>
      <c r="S812" s="217">
        <f t="shared" ref="S812" si="889">SUM(M812:R812)</f>
        <v>98530000</v>
      </c>
      <c r="T812" s="217"/>
      <c r="U812" s="217"/>
      <c r="V812" s="217"/>
      <c r="W812" s="217"/>
      <c r="X812" s="217">
        <v>410000</v>
      </c>
      <c r="Y812" s="217"/>
      <c r="Z812" s="217">
        <f>SUM(U812:Y812)</f>
        <v>410000</v>
      </c>
      <c r="AA812" s="217"/>
      <c r="AB812" s="217"/>
      <c r="AC812" s="217"/>
      <c r="AD812" s="217"/>
      <c r="AE812" s="217">
        <v>1736000</v>
      </c>
      <c r="AF812" s="217"/>
      <c r="AG812" s="217">
        <f t="shared" ref="AG812" si="890">SUM(AB812:AF812)</f>
        <v>1736000</v>
      </c>
      <c r="AH812" s="217">
        <f t="shared" ref="AH812" si="891">AG812+AA812</f>
        <v>1736000</v>
      </c>
      <c r="AI812" s="217"/>
      <c r="AJ812" s="764"/>
    </row>
    <row r="813" spans="1:36" ht="6.5" customHeight="1">
      <c r="A813" s="718"/>
      <c r="B813" s="718"/>
      <c r="C813" s="465"/>
      <c r="D813" s="465"/>
      <c r="E813" s="465"/>
      <c r="F813" s="125"/>
      <c r="G813" s="481"/>
      <c r="H813" s="125"/>
      <c r="I813" s="66"/>
      <c r="J813" s="452"/>
      <c r="K813" s="453"/>
      <c r="L813" s="217"/>
      <c r="M813" s="217"/>
      <c r="N813" s="217"/>
      <c r="O813" s="217"/>
      <c r="P813" s="217"/>
      <c r="Q813" s="217"/>
      <c r="R813" s="217"/>
      <c r="S813" s="217"/>
      <c r="T813" s="217"/>
      <c r="U813" s="217"/>
      <c r="V813" s="217"/>
      <c r="W813" s="217"/>
      <c r="X813" s="217"/>
      <c r="Y813" s="217"/>
      <c r="Z813" s="217"/>
      <c r="AA813" s="217"/>
      <c r="AB813" s="217"/>
      <c r="AC813" s="217"/>
      <c r="AD813" s="217"/>
      <c r="AE813" s="217"/>
      <c r="AF813" s="217"/>
      <c r="AG813" s="217"/>
      <c r="AH813" s="217"/>
      <c r="AI813" s="217"/>
      <c r="AJ813" s="764"/>
    </row>
    <row r="814" spans="1:36" ht="14" customHeight="1">
      <c r="A814" s="40"/>
      <c r="B814" s="40"/>
      <c r="C814" s="124"/>
      <c r="D814" s="124"/>
      <c r="E814" s="124"/>
      <c r="F814" s="173"/>
      <c r="G814" s="64"/>
      <c r="H814" s="65"/>
      <c r="I814" s="64" t="s">
        <v>38</v>
      </c>
      <c r="J814" s="333">
        <f>SUM(J807:J813)</f>
        <v>1988490160</v>
      </c>
      <c r="K814" s="457"/>
      <c r="L814" s="458"/>
      <c r="M814" s="458">
        <f>SUM(M812:M813)</f>
        <v>44339000</v>
      </c>
      <c r="N814" s="458">
        <f t="shared" ref="N814:T814" si="892">SUM(N812:N813)</f>
        <v>0</v>
      </c>
      <c r="O814" s="458">
        <f t="shared" si="892"/>
        <v>0</v>
      </c>
      <c r="P814" s="458">
        <f t="shared" si="892"/>
        <v>0</v>
      </c>
      <c r="Q814" s="458">
        <f t="shared" si="892"/>
        <v>54191000</v>
      </c>
      <c r="R814" s="458">
        <f t="shared" si="892"/>
        <v>0</v>
      </c>
      <c r="S814" s="458">
        <f t="shared" si="892"/>
        <v>98530000</v>
      </c>
      <c r="T814" s="458">
        <f t="shared" si="892"/>
        <v>0</v>
      </c>
      <c r="U814" s="458"/>
      <c r="V814" s="458"/>
      <c r="W814" s="458"/>
      <c r="X814" s="458">
        <f t="shared" ref="X814" si="893">SUM(X812:X813)</f>
        <v>410000</v>
      </c>
      <c r="Y814" s="458"/>
      <c r="Z814" s="458">
        <f t="shared" ref="Z814:AA814" si="894">SUM(Z812:Z813)</f>
        <v>410000</v>
      </c>
      <c r="AA814" s="458">
        <f t="shared" si="894"/>
        <v>0</v>
      </c>
      <c r="AB814" s="458"/>
      <c r="AC814" s="458"/>
      <c r="AD814" s="458"/>
      <c r="AE814" s="458">
        <f t="shared" ref="AE814" si="895">SUM(AE812:AE813)</f>
        <v>1736000</v>
      </c>
      <c r="AF814" s="458"/>
      <c r="AG814" s="458">
        <f t="shared" ref="AG814:AH814" si="896">SUM(AG812:AG813)</f>
        <v>1736000</v>
      </c>
      <c r="AH814" s="458">
        <f t="shared" si="896"/>
        <v>1736000</v>
      </c>
      <c r="AI814" s="458"/>
      <c r="AJ814" s="770"/>
    </row>
    <row r="815" spans="1:36" ht="14">
      <c r="A815" s="40"/>
      <c r="B815" s="40"/>
      <c r="C815" s="124"/>
      <c r="D815" s="124"/>
      <c r="E815" s="124"/>
      <c r="F815" s="41"/>
      <c r="G815" s="41"/>
      <c r="H815" s="66"/>
      <c r="I815" s="66"/>
      <c r="J815" s="452"/>
      <c r="K815" s="453"/>
      <c r="L815" s="217"/>
      <c r="M815" s="217"/>
      <c r="N815" s="217"/>
      <c r="O815" s="217"/>
      <c r="P815" s="217"/>
      <c r="Q815" s="217"/>
      <c r="R815" s="217"/>
      <c r="S815" s="217"/>
      <c r="T815" s="217"/>
      <c r="U815" s="217"/>
      <c r="V815" s="217"/>
      <c r="W815" s="217"/>
      <c r="X815" s="217"/>
      <c r="Y815" s="217"/>
      <c r="Z815" s="217"/>
      <c r="AA815" s="217"/>
      <c r="AB815" s="217"/>
      <c r="AC815" s="217"/>
      <c r="AD815" s="217"/>
      <c r="AE815" s="217"/>
      <c r="AF815" s="217"/>
      <c r="AG815" s="217"/>
      <c r="AH815" s="217"/>
      <c r="AI815" s="217"/>
      <c r="AJ815" s="764"/>
    </row>
    <row r="816" spans="1:36" ht="14" customHeight="1">
      <c r="A816" s="40"/>
      <c r="B816" s="40"/>
      <c r="C816" s="124"/>
      <c r="D816" s="124"/>
      <c r="E816" s="124"/>
      <c r="F816" s="166"/>
      <c r="G816" s="166"/>
      <c r="H816" s="464"/>
      <c r="I816" s="166" t="s">
        <v>37</v>
      </c>
      <c r="J816" s="460">
        <f>SUM(J722:J724)/2</f>
        <v>124280635</v>
      </c>
      <c r="K816" s="461">
        <f>SUM(K722:K724)/2</f>
        <v>0</v>
      </c>
      <c r="L816" s="460">
        <f t="shared" ref="L816:T816" si="897">SUM(L722:L760)/2</f>
        <v>124280635</v>
      </c>
      <c r="M816" s="460">
        <f t="shared" si="897"/>
        <v>53476000</v>
      </c>
      <c r="N816" s="460">
        <f t="shared" si="897"/>
        <v>0</v>
      </c>
      <c r="O816" s="460">
        <f t="shared" si="897"/>
        <v>0</v>
      </c>
      <c r="P816" s="460">
        <f t="shared" si="897"/>
        <v>0</v>
      </c>
      <c r="Q816" s="460">
        <f t="shared" si="897"/>
        <v>86619000</v>
      </c>
      <c r="R816" s="460">
        <f t="shared" si="897"/>
        <v>0</v>
      </c>
      <c r="S816" s="460">
        <f t="shared" si="897"/>
        <v>140095000</v>
      </c>
      <c r="T816" s="460">
        <f t="shared" si="897"/>
        <v>264375635</v>
      </c>
      <c r="U816" s="460">
        <f t="shared" ref="U816:AI816" si="898">SUM(U722:U815)/2</f>
        <v>0</v>
      </c>
      <c r="V816" s="460">
        <f t="shared" si="898"/>
        <v>0</v>
      </c>
      <c r="W816" s="460">
        <f t="shared" si="898"/>
        <v>0</v>
      </c>
      <c r="X816" s="460">
        <f t="shared" si="898"/>
        <v>152055000</v>
      </c>
      <c r="Y816" s="460">
        <f t="shared" si="898"/>
        <v>0</v>
      </c>
      <c r="Z816" s="460">
        <f t="shared" si="898"/>
        <v>152055000</v>
      </c>
      <c r="AA816" s="460">
        <f t="shared" si="898"/>
        <v>413970635</v>
      </c>
      <c r="AB816" s="460">
        <f t="shared" si="898"/>
        <v>0</v>
      </c>
      <c r="AC816" s="460">
        <f t="shared" si="898"/>
        <v>0</v>
      </c>
      <c r="AD816" s="460">
        <f t="shared" si="898"/>
        <v>0</v>
      </c>
      <c r="AE816" s="460">
        <f t="shared" si="898"/>
        <v>137295365</v>
      </c>
      <c r="AF816" s="460">
        <f t="shared" si="898"/>
        <v>0</v>
      </c>
      <c r="AG816" s="460">
        <f t="shared" si="898"/>
        <v>137295365</v>
      </c>
      <c r="AH816" s="460">
        <f t="shared" si="898"/>
        <v>551266000</v>
      </c>
      <c r="AI816" s="460">
        <f t="shared" si="898"/>
        <v>527226000</v>
      </c>
      <c r="AJ816" s="771">
        <f>AI816/AH816*100</f>
        <v>95.63912884161185</v>
      </c>
    </row>
    <row r="817" spans="1:36" ht="14">
      <c r="A817" s="40"/>
      <c r="B817" s="40"/>
      <c r="C817" s="124"/>
      <c r="D817" s="124"/>
      <c r="E817" s="124"/>
      <c r="F817" s="41"/>
      <c r="G817" s="41"/>
      <c r="H817" s="66"/>
      <c r="I817" s="41"/>
      <c r="J817" s="126"/>
      <c r="K817" s="204"/>
      <c r="L817" s="205"/>
      <c r="M817" s="205"/>
      <c r="N817" s="205"/>
      <c r="O817" s="205"/>
      <c r="P817" s="205"/>
      <c r="Q817" s="205"/>
      <c r="R817" s="205"/>
      <c r="S817" s="205"/>
      <c r="T817" s="205"/>
      <c r="U817" s="205"/>
      <c r="V817" s="205"/>
      <c r="W817" s="205"/>
      <c r="X817" s="205"/>
      <c r="Y817" s="205"/>
      <c r="Z817" s="205"/>
      <c r="AA817" s="205"/>
      <c r="AB817" s="205"/>
      <c r="AC817" s="205"/>
      <c r="AD817" s="205"/>
      <c r="AE817" s="205"/>
      <c r="AF817" s="205"/>
      <c r="AG817" s="205"/>
      <c r="AH817" s="205"/>
      <c r="AI817" s="205"/>
      <c r="AJ817" s="747"/>
    </row>
    <row r="818" spans="1:36" ht="14">
      <c r="A818" s="40">
        <v>25</v>
      </c>
      <c r="B818" s="40"/>
      <c r="C818" s="124"/>
      <c r="D818" s="124"/>
      <c r="E818" s="124"/>
      <c r="F818" s="41" t="s">
        <v>193</v>
      </c>
      <c r="G818" s="41"/>
      <c r="H818" s="66"/>
      <c r="I818" s="41"/>
      <c r="J818" s="126"/>
      <c r="K818" s="204"/>
      <c r="L818" s="205"/>
      <c r="M818" s="205"/>
      <c r="N818" s="205"/>
      <c r="O818" s="205"/>
      <c r="P818" s="205"/>
      <c r="Q818" s="205"/>
      <c r="R818" s="205"/>
      <c r="S818" s="205"/>
      <c r="T818" s="205"/>
      <c r="U818" s="205"/>
      <c r="V818" s="205"/>
      <c r="W818" s="205"/>
      <c r="X818" s="205"/>
      <c r="Y818" s="205"/>
      <c r="Z818" s="205"/>
      <c r="AA818" s="205"/>
      <c r="AB818" s="205"/>
      <c r="AC818" s="205"/>
      <c r="AD818" s="205"/>
      <c r="AE818" s="205"/>
      <c r="AF818" s="205"/>
      <c r="AG818" s="205"/>
      <c r="AH818" s="205"/>
      <c r="AI818" s="205"/>
      <c r="AJ818" s="747"/>
    </row>
    <row r="819" spans="1:36" ht="14">
      <c r="A819" s="40"/>
      <c r="B819" s="40"/>
      <c r="C819" s="124">
        <v>1</v>
      </c>
      <c r="D819" s="124"/>
      <c r="E819" s="124"/>
      <c r="F819" s="41"/>
      <c r="G819" s="41"/>
      <c r="H819" s="66" t="s">
        <v>35</v>
      </c>
      <c r="I819" s="41"/>
      <c r="J819" s="126"/>
      <c r="K819" s="204"/>
      <c r="L819" s="205"/>
      <c r="M819" s="205"/>
      <c r="N819" s="205"/>
      <c r="O819" s="205"/>
      <c r="P819" s="205"/>
      <c r="Q819" s="205"/>
      <c r="R819" s="205"/>
      <c r="S819" s="205"/>
      <c r="T819" s="205"/>
      <c r="U819" s="205"/>
      <c r="V819" s="205"/>
      <c r="W819" s="205"/>
      <c r="X819" s="205"/>
      <c r="Y819" s="205"/>
      <c r="Z819" s="205"/>
      <c r="AA819" s="205"/>
      <c r="AB819" s="205"/>
      <c r="AC819" s="205"/>
      <c r="AD819" s="205"/>
      <c r="AE819" s="205"/>
      <c r="AF819" s="205"/>
      <c r="AG819" s="205"/>
      <c r="AH819" s="205"/>
      <c r="AI819" s="205"/>
      <c r="AJ819" s="747"/>
    </row>
    <row r="820" spans="1:36" ht="14">
      <c r="A820" s="40"/>
      <c r="B820" s="40"/>
      <c r="C820" s="124"/>
      <c r="D820" s="124">
        <v>1</v>
      </c>
      <c r="E820" s="124" t="s">
        <v>199</v>
      </c>
      <c r="F820" s="41"/>
      <c r="G820" s="41"/>
      <c r="H820" s="66"/>
      <c r="I820" s="66" t="s">
        <v>180</v>
      </c>
      <c r="J820" s="128">
        <v>13272727</v>
      </c>
      <c r="K820" s="204"/>
      <c r="L820" s="217">
        <f>SUM(J820:K820)</f>
        <v>13272727</v>
      </c>
      <c r="M820" s="217"/>
      <c r="N820" s="217"/>
      <c r="O820" s="217"/>
      <c r="P820" s="217">
        <v>12095613</v>
      </c>
      <c r="Q820" s="217"/>
      <c r="R820" s="217"/>
      <c r="S820" s="217">
        <f t="shared" ref="S820:S821" si="899">SUM(M820:R820)</f>
        <v>12095613</v>
      </c>
      <c r="T820" s="217">
        <f t="shared" ref="T820:T821" si="900">S820+L820</f>
        <v>25368340</v>
      </c>
      <c r="U820" s="217"/>
      <c r="V820" s="217"/>
      <c r="W820" s="217">
        <v>4583304</v>
      </c>
      <c r="X820" s="217"/>
      <c r="Y820" s="217"/>
      <c r="Z820" s="217">
        <f>SUM(U820:Y820)</f>
        <v>4583304</v>
      </c>
      <c r="AA820" s="217">
        <f>Z820+T820</f>
        <v>29951644</v>
      </c>
      <c r="AB820" s="217"/>
      <c r="AC820" s="217"/>
      <c r="AD820" s="217">
        <v>4826300</v>
      </c>
      <c r="AE820" s="217"/>
      <c r="AF820" s="217"/>
      <c r="AG820" s="217">
        <f t="shared" ref="AG820:AG821" si="901">SUM(AB820:AF820)</f>
        <v>4826300</v>
      </c>
      <c r="AH820" s="217">
        <f t="shared" ref="AH820:AH821" si="902">AG820+AA820</f>
        <v>34777944</v>
      </c>
      <c r="AI820" s="217">
        <v>32389983</v>
      </c>
      <c r="AJ820" s="764">
        <f t="shared" ref="AJ820:AJ821" si="903">AI820/AH820*100</f>
        <v>93.133691284338141</v>
      </c>
    </row>
    <row r="821" spans="1:36" ht="14">
      <c r="A821" s="40"/>
      <c r="B821" s="40"/>
      <c r="C821" s="124"/>
      <c r="D821" s="124">
        <v>2</v>
      </c>
      <c r="E821" s="124" t="s">
        <v>199</v>
      </c>
      <c r="F821" s="451"/>
      <c r="G821" s="41"/>
      <c r="H821" s="66"/>
      <c r="I821" s="66" t="s">
        <v>182</v>
      </c>
      <c r="J821" s="128">
        <v>1327273</v>
      </c>
      <c r="K821" s="204"/>
      <c r="L821" s="217">
        <f>SUM(J821:K821)</f>
        <v>1327273</v>
      </c>
      <c r="M821" s="217"/>
      <c r="N821" s="217"/>
      <c r="O821" s="217"/>
      <c r="P821" s="217">
        <v>1210512</v>
      </c>
      <c r="Q821" s="217"/>
      <c r="R821" s="217"/>
      <c r="S821" s="217">
        <f t="shared" si="899"/>
        <v>1210512</v>
      </c>
      <c r="T821" s="217">
        <f t="shared" si="900"/>
        <v>2537785</v>
      </c>
      <c r="U821" s="217"/>
      <c r="V821" s="217"/>
      <c r="W821" s="217">
        <v>446872</v>
      </c>
      <c r="X821" s="217"/>
      <c r="Y821" s="217"/>
      <c r="Z821" s="217">
        <f>SUM(U821:Y821)</f>
        <v>446872</v>
      </c>
      <c r="AA821" s="217">
        <f>Z821+T821</f>
        <v>2984657</v>
      </c>
      <c r="AB821" s="217"/>
      <c r="AC821" s="217"/>
      <c r="AD821" s="217">
        <v>470565</v>
      </c>
      <c r="AE821" s="217"/>
      <c r="AF821" s="217"/>
      <c r="AG821" s="217">
        <f t="shared" si="901"/>
        <v>470565</v>
      </c>
      <c r="AH821" s="217">
        <f t="shared" si="902"/>
        <v>3455222</v>
      </c>
      <c r="AI821" s="217">
        <v>3258559</v>
      </c>
      <c r="AJ821" s="764">
        <f t="shared" si="903"/>
        <v>94.308238370790647</v>
      </c>
    </row>
    <row r="822" spans="1:36" ht="14">
      <c r="A822" s="40"/>
      <c r="B822" s="40"/>
      <c r="C822" s="124"/>
      <c r="D822" s="124"/>
      <c r="E822" s="124"/>
      <c r="F822" s="41"/>
      <c r="G822" s="41"/>
      <c r="H822" s="66"/>
      <c r="I822" s="41"/>
      <c r="J822" s="126"/>
      <c r="K822" s="204"/>
      <c r="L822" s="205"/>
      <c r="M822" s="205"/>
      <c r="N822" s="205"/>
      <c r="O822" s="205"/>
      <c r="P822" s="205"/>
      <c r="Q822" s="205"/>
      <c r="R822" s="205"/>
      <c r="S822" s="205"/>
      <c r="T822" s="205"/>
      <c r="U822" s="205"/>
      <c r="V822" s="205"/>
      <c r="W822" s="205"/>
      <c r="X822" s="205"/>
      <c r="Y822" s="205"/>
      <c r="Z822" s="205"/>
      <c r="AA822" s="205"/>
      <c r="AB822" s="205"/>
      <c r="AC822" s="205"/>
      <c r="AD822" s="205"/>
      <c r="AE822" s="205"/>
      <c r="AF822" s="205"/>
      <c r="AG822" s="205"/>
      <c r="AH822" s="205"/>
      <c r="AI822" s="205"/>
      <c r="AJ822" s="747"/>
    </row>
    <row r="823" spans="1:36" ht="14">
      <c r="A823" s="40"/>
      <c r="B823" s="40"/>
      <c r="C823" s="124"/>
      <c r="D823" s="124"/>
      <c r="E823" s="124"/>
      <c r="F823" s="491"/>
      <c r="G823" s="42"/>
      <c r="H823" s="129"/>
      <c r="I823" s="166" t="s">
        <v>37</v>
      </c>
      <c r="J823" s="460">
        <f>SUM(J817:J822)</f>
        <v>14600000</v>
      </c>
      <c r="K823" s="461"/>
      <c r="L823" s="460">
        <f>SUM(L817:L822)</f>
        <v>14600000</v>
      </c>
      <c r="M823" s="460">
        <f t="shared" ref="M823:T823" si="904">SUM(M817:M822)</f>
        <v>0</v>
      </c>
      <c r="N823" s="460">
        <f t="shared" si="904"/>
        <v>0</v>
      </c>
      <c r="O823" s="460">
        <f t="shared" si="904"/>
        <v>0</v>
      </c>
      <c r="P823" s="460">
        <f t="shared" si="904"/>
        <v>13306125</v>
      </c>
      <c r="Q823" s="460">
        <f t="shared" si="904"/>
        <v>0</v>
      </c>
      <c r="R823" s="460">
        <f t="shared" si="904"/>
        <v>0</v>
      </c>
      <c r="S823" s="460">
        <f t="shared" si="904"/>
        <v>13306125</v>
      </c>
      <c r="T823" s="460">
        <f t="shared" si="904"/>
        <v>27906125</v>
      </c>
      <c r="U823" s="460"/>
      <c r="V823" s="460"/>
      <c r="W823" s="460">
        <f t="shared" ref="W823" si="905">SUM(W817:W822)</f>
        <v>5030176</v>
      </c>
      <c r="X823" s="460"/>
      <c r="Y823" s="460"/>
      <c r="Z823" s="460">
        <f t="shared" ref="Z823:AA823" si="906">SUM(Z817:Z822)</f>
        <v>5030176</v>
      </c>
      <c r="AA823" s="460">
        <f t="shared" si="906"/>
        <v>32936301</v>
      </c>
      <c r="AB823" s="460"/>
      <c r="AC823" s="460"/>
      <c r="AD823" s="460">
        <f t="shared" ref="AD823" si="907">SUM(AD817:AD822)</f>
        <v>5296865</v>
      </c>
      <c r="AE823" s="460"/>
      <c r="AF823" s="460"/>
      <c r="AG823" s="460">
        <f t="shared" ref="AG823:AI823" si="908">SUM(AG817:AG822)</f>
        <v>5296865</v>
      </c>
      <c r="AH823" s="460">
        <f t="shared" si="908"/>
        <v>38233166</v>
      </c>
      <c r="AI823" s="460">
        <f t="shared" si="908"/>
        <v>35648542</v>
      </c>
      <c r="AJ823" s="771">
        <f>AI823/AH823*100</f>
        <v>93.239837893623573</v>
      </c>
    </row>
    <row r="824" spans="1:36" ht="14">
      <c r="A824" s="40"/>
      <c r="B824" s="40"/>
      <c r="C824" s="124"/>
      <c r="D824" s="124"/>
      <c r="E824" s="124"/>
      <c r="F824" s="41"/>
      <c r="G824" s="41"/>
      <c r="H824" s="66"/>
      <c r="I824" s="66"/>
      <c r="J824" s="126"/>
      <c r="K824" s="204"/>
      <c r="L824" s="205"/>
      <c r="M824" s="205"/>
      <c r="N824" s="205"/>
      <c r="O824" s="205"/>
      <c r="P824" s="205"/>
      <c r="Q824" s="205"/>
      <c r="R824" s="205"/>
      <c r="S824" s="205"/>
      <c r="T824" s="205"/>
      <c r="U824" s="205"/>
      <c r="V824" s="205"/>
      <c r="W824" s="205"/>
      <c r="X824" s="205"/>
      <c r="Y824" s="205"/>
      <c r="Z824" s="205"/>
      <c r="AA824" s="205"/>
      <c r="AB824" s="205"/>
      <c r="AC824" s="205"/>
      <c r="AD824" s="205"/>
      <c r="AE824" s="205"/>
      <c r="AF824" s="205"/>
      <c r="AG824" s="205"/>
      <c r="AH824" s="205"/>
      <c r="AI824" s="205"/>
      <c r="AJ824" s="747"/>
    </row>
    <row r="825" spans="1:36" ht="14">
      <c r="A825" s="40">
        <v>26</v>
      </c>
      <c r="B825" s="40"/>
      <c r="C825" s="124"/>
      <c r="D825" s="124"/>
      <c r="E825" s="124"/>
      <c r="F825" s="41" t="s">
        <v>307</v>
      </c>
      <c r="G825" s="41"/>
      <c r="H825" s="66"/>
      <c r="I825" s="66"/>
      <c r="J825" s="126"/>
      <c r="K825" s="204"/>
      <c r="L825" s="205"/>
      <c r="M825" s="205"/>
      <c r="N825" s="205"/>
      <c r="O825" s="205"/>
      <c r="P825" s="205"/>
      <c r="Q825" s="205"/>
      <c r="R825" s="205"/>
      <c r="S825" s="205"/>
      <c r="T825" s="205"/>
      <c r="U825" s="205"/>
      <c r="V825" s="205"/>
      <c r="W825" s="205"/>
      <c r="X825" s="205"/>
      <c r="Y825" s="205"/>
      <c r="Z825" s="205"/>
      <c r="AA825" s="205"/>
      <c r="AB825" s="205"/>
      <c r="AC825" s="205"/>
      <c r="AD825" s="205"/>
      <c r="AE825" s="205"/>
      <c r="AF825" s="205"/>
      <c r="AG825" s="205"/>
      <c r="AH825" s="205"/>
      <c r="AI825" s="205"/>
      <c r="AJ825" s="747"/>
    </row>
    <row r="826" spans="1:36" ht="14">
      <c r="A826" s="40"/>
      <c r="B826" s="40"/>
      <c r="C826" s="124">
        <v>1</v>
      </c>
      <c r="D826" s="124"/>
      <c r="E826" s="124"/>
      <c r="F826" s="41"/>
      <c r="G826" s="41"/>
      <c r="H826" s="66" t="s">
        <v>35</v>
      </c>
      <c r="I826" s="66"/>
      <c r="J826" s="126"/>
      <c r="K826" s="204"/>
      <c r="L826" s="205"/>
      <c r="M826" s="205"/>
      <c r="N826" s="205"/>
      <c r="O826" s="205"/>
      <c r="P826" s="205"/>
      <c r="Q826" s="205"/>
      <c r="R826" s="205"/>
      <c r="S826" s="205"/>
      <c r="T826" s="205"/>
      <c r="U826" s="205"/>
      <c r="V826" s="205"/>
      <c r="W826" s="205"/>
      <c r="X826" s="205"/>
      <c r="Y826" s="205"/>
      <c r="Z826" s="205"/>
      <c r="AA826" s="205"/>
      <c r="AB826" s="205"/>
      <c r="AC826" s="205"/>
      <c r="AD826" s="205"/>
      <c r="AE826" s="205"/>
      <c r="AF826" s="205"/>
      <c r="AG826" s="205"/>
      <c r="AH826" s="205"/>
      <c r="AI826" s="205"/>
      <c r="AJ826" s="747"/>
    </row>
    <row r="827" spans="1:36" ht="14">
      <c r="A827" s="40"/>
      <c r="B827" s="40"/>
      <c r="C827" s="124"/>
      <c r="D827" s="124">
        <v>3</v>
      </c>
      <c r="E827" s="124" t="s">
        <v>199</v>
      </c>
      <c r="F827" s="41"/>
      <c r="G827" s="41"/>
      <c r="H827" s="66"/>
      <c r="I827" s="66" t="s">
        <v>116</v>
      </c>
      <c r="J827" s="128">
        <v>800000</v>
      </c>
      <c r="K827" s="208"/>
      <c r="L827" s="217">
        <f>SUM(J827:K827)</f>
        <v>800000</v>
      </c>
      <c r="M827" s="217">
        <v>70000</v>
      </c>
      <c r="N827" s="217"/>
      <c r="O827" s="217"/>
      <c r="P827" s="217"/>
      <c r="Q827" s="217"/>
      <c r="R827" s="217"/>
      <c r="S827" s="217">
        <f t="shared" ref="S827" si="909">SUM(M827:R827)</f>
        <v>70000</v>
      </c>
      <c r="T827" s="217">
        <f t="shared" ref="T827" si="910">S827+L827</f>
        <v>870000</v>
      </c>
      <c r="U827" s="217"/>
      <c r="V827" s="217"/>
      <c r="W827" s="217"/>
      <c r="X827" s="217"/>
      <c r="Y827" s="217"/>
      <c r="Z827" s="217">
        <f>SUM(U827:Y827)</f>
        <v>0</v>
      </c>
      <c r="AA827" s="217">
        <f>Z827+T827</f>
        <v>870000</v>
      </c>
      <c r="AB827" s="217"/>
      <c r="AC827" s="217"/>
      <c r="AD827" s="217"/>
      <c r="AE827" s="217"/>
      <c r="AF827" s="217"/>
      <c r="AG827" s="217">
        <f t="shared" ref="AG827" si="911">SUM(AB827:AF827)</f>
        <v>0</v>
      </c>
      <c r="AH827" s="217">
        <f t="shared" ref="AH827" si="912">AG827+AA827</f>
        <v>870000</v>
      </c>
      <c r="AI827" s="217">
        <v>800000</v>
      </c>
      <c r="AJ827" s="764">
        <f>AI827/AH827*100</f>
        <v>91.954022988505741</v>
      </c>
    </row>
    <row r="828" spans="1:36" ht="14">
      <c r="A828" s="40"/>
      <c r="B828" s="40"/>
      <c r="C828" s="124"/>
      <c r="D828" s="124"/>
      <c r="E828" s="124"/>
      <c r="F828" s="41"/>
      <c r="G828" s="41"/>
      <c r="H828" s="66"/>
      <c r="I828" s="41"/>
      <c r="J828" s="126"/>
      <c r="K828" s="204"/>
      <c r="L828" s="205"/>
      <c r="M828" s="205"/>
      <c r="N828" s="205"/>
      <c r="O828" s="205"/>
      <c r="P828" s="205"/>
      <c r="Q828" s="205"/>
      <c r="R828" s="205"/>
      <c r="S828" s="205"/>
      <c r="T828" s="205"/>
      <c r="U828" s="205"/>
      <c r="V828" s="205"/>
      <c r="W828" s="205"/>
      <c r="X828" s="205"/>
      <c r="Y828" s="205"/>
      <c r="Z828" s="205"/>
      <c r="AA828" s="205"/>
      <c r="AB828" s="205"/>
      <c r="AC828" s="205"/>
      <c r="AD828" s="205"/>
      <c r="AE828" s="205"/>
      <c r="AF828" s="205"/>
      <c r="AG828" s="205"/>
      <c r="AH828" s="205"/>
      <c r="AI828" s="205"/>
      <c r="AJ828" s="747"/>
    </row>
    <row r="829" spans="1:36" ht="14">
      <c r="A829" s="40"/>
      <c r="B829" s="40"/>
      <c r="C829" s="124"/>
      <c r="D829" s="124"/>
      <c r="E829" s="124"/>
      <c r="F829" s="491"/>
      <c r="G829" s="42"/>
      <c r="H829" s="129"/>
      <c r="I829" s="166" t="s">
        <v>37</v>
      </c>
      <c r="J829" s="460">
        <f>SUM(J827:J828)</f>
        <v>800000</v>
      </c>
      <c r="K829" s="461"/>
      <c r="L829" s="460">
        <f>SUM(L827:L828)</f>
        <v>800000</v>
      </c>
      <c r="M829" s="460">
        <f t="shared" ref="M829:T829" si="913">SUM(M827:M828)</f>
        <v>70000</v>
      </c>
      <c r="N829" s="460">
        <f t="shared" si="913"/>
        <v>0</v>
      </c>
      <c r="O829" s="460">
        <f t="shared" si="913"/>
        <v>0</v>
      </c>
      <c r="P829" s="460">
        <f t="shared" si="913"/>
        <v>0</v>
      </c>
      <c r="Q829" s="460">
        <f t="shared" si="913"/>
        <v>0</v>
      </c>
      <c r="R829" s="460">
        <f t="shared" si="913"/>
        <v>0</v>
      </c>
      <c r="S829" s="460">
        <f t="shared" si="913"/>
        <v>70000</v>
      </c>
      <c r="T829" s="460">
        <f t="shared" si="913"/>
        <v>870000</v>
      </c>
      <c r="U829" s="460"/>
      <c r="V829" s="460"/>
      <c r="W829" s="460"/>
      <c r="X829" s="460"/>
      <c r="Y829" s="460"/>
      <c r="Z829" s="460">
        <f t="shared" ref="Z829:AA829" si="914">SUM(Z827:Z828)</f>
        <v>0</v>
      </c>
      <c r="AA829" s="460">
        <f t="shared" si="914"/>
        <v>870000</v>
      </c>
      <c r="AB829" s="460"/>
      <c r="AC829" s="460"/>
      <c r="AD829" s="460"/>
      <c r="AE829" s="460"/>
      <c r="AF829" s="460"/>
      <c r="AG829" s="460">
        <f t="shared" ref="AG829:AI829" si="915">SUM(AG827:AG828)</f>
        <v>0</v>
      </c>
      <c r="AH829" s="460">
        <f t="shared" si="915"/>
        <v>870000</v>
      </c>
      <c r="AI829" s="460">
        <f t="shared" si="915"/>
        <v>800000</v>
      </c>
      <c r="AJ829" s="771">
        <f>AI829/AH829*100</f>
        <v>91.954022988505741</v>
      </c>
    </row>
    <row r="830" spans="1:36" ht="14">
      <c r="A830" s="40"/>
      <c r="B830" s="40"/>
      <c r="C830" s="124"/>
      <c r="D830" s="124"/>
      <c r="E830" s="124"/>
      <c r="F830" s="41"/>
      <c r="G830" s="41"/>
      <c r="H830" s="66"/>
      <c r="I830" s="41"/>
      <c r="J830" s="126"/>
      <c r="K830" s="204"/>
      <c r="L830" s="205"/>
      <c r="M830" s="205"/>
      <c r="N830" s="205"/>
      <c r="O830" s="205"/>
      <c r="P830" s="205"/>
      <c r="Q830" s="205"/>
      <c r="R830" s="205"/>
      <c r="S830" s="205"/>
      <c r="T830" s="205"/>
      <c r="U830" s="205"/>
      <c r="V830" s="205"/>
      <c r="W830" s="205"/>
      <c r="X830" s="205"/>
      <c r="Y830" s="205"/>
      <c r="Z830" s="205"/>
      <c r="AA830" s="205"/>
      <c r="AB830" s="205"/>
      <c r="AC830" s="205"/>
      <c r="AD830" s="205"/>
      <c r="AE830" s="205"/>
      <c r="AF830" s="205"/>
      <c r="AG830" s="205"/>
      <c r="AH830" s="205"/>
      <c r="AI830" s="205"/>
      <c r="AJ830" s="747"/>
    </row>
    <row r="831" spans="1:36" ht="14">
      <c r="A831" s="677">
        <v>27</v>
      </c>
      <c r="B831" s="677"/>
      <c r="C831" s="465"/>
      <c r="D831" s="465"/>
      <c r="E831" s="465"/>
      <c r="F831" s="481" t="s">
        <v>55</v>
      </c>
      <c r="G831" s="481"/>
      <c r="H831" s="125"/>
      <c r="I831" s="66"/>
      <c r="J831" s="452"/>
      <c r="K831" s="453"/>
      <c r="L831" s="454"/>
      <c r="M831" s="454"/>
      <c r="N831" s="454"/>
      <c r="O831" s="454"/>
      <c r="P831" s="454"/>
      <c r="Q831" s="454"/>
      <c r="R831" s="454"/>
      <c r="S831" s="454"/>
      <c r="T831" s="454"/>
      <c r="U831" s="454"/>
      <c r="V831" s="454"/>
      <c r="W831" s="454"/>
      <c r="X831" s="454"/>
      <c r="Y831" s="454"/>
      <c r="Z831" s="454"/>
      <c r="AA831" s="454"/>
      <c r="AB831" s="454"/>
      <c r="AC831" s="454"/>
      <c r="AD831" s="454"/>
      <c r="AE831" s="454"/>
      <c r="AF831" s="454"/>
      <c r="AG831" s="454"/>
      <c r="AH831" s="454"/>
      <c r="AI831" s="454"/>
      <c r="AJ831" s="769"/>
    </row>
    <row r="832" spans="1:36" ht="14">
      <c r="A832" s="40"/>
      <c r="B832" s="40">
        <v>1</v>
      </c>
      <c r="C832" s="124"/>
      <c r="D832" s="124"/>
      <c r="E832" s="124"/>
      <c r="F832" s="451"/>
      <c r="G832" s="459" t="s">
        <v>343</v>
      </c>
      <c r="H832" s="66"/>
      <c r="I832" s="66"/>
      <c r="J832" s="452"/>
      <c r="K832" s="453"/>
      <c r="L832" s="454"/>
      <c r="M832" s="454"/>
      <c r="N832" s="454"/>
      <c r="O832" s="454"/>
      <c r="P832" s="454"/>
      <c r="Q832" s="454"/>
      <c r="R832" s="454"/>
      <c r="S832" s="454"/>
      <c r="T832" s="454"/>
      <c r="U832" s="454"/>
      <c r="V832" s="454"/>
      <c r="W832" s="454"/>
      <c r="X832" s="454"/>
      <c r="Y832" s="454"/>
      <c r="Z832" s="454"/>
      <c r="AA832" s="454"/>
      <c r="AB832" s="454"/>
      <c r="AC832" s="454"/>
      <c r="AD832" s="454"/>
      <c r="AE832" s="454"/>
      <c r="AF832" s="454"/>
      <c r="AG832" s="454"/>
      <c r="AH832" s="454"/>
      <c r="AI832" s="454"/>
      <c r="AJ832" s="769"/>
    </row>
    <row r="833" spans="1:36" ht="14">
      <c r="A833" s="40"/>
      <c r="B833" s="40"/>
      <c r="C833" s="124">
        <v>1</v>
      </c>
      <c r="D833" s="124"/>
      <c r="E833" s="124"/>
      <c r="F833" s="451"/>
      <c r="G833" s="41"/>
      <c r="H833" s="66" t="s">
        <v>35</v>
      </c>
      <c r="I833" s="66"/>
      <c r="J833" s="452"/>
      <c r="K833" s="453"/>
      <c r="L833" s="454"/>
      <c r="M833" s="454"/>
      <c r="N833" s="454"/>
      <c r="O833" s="454"/>
      <c r="P833" s="454"/>
      <c r="Q833" s="454"/>
      <c r="R833" s="454"/>
      <c r="S833" s="454"/>
      <c r="T833" s="454"/>
      <c r="U833" s="454"/>
      <c r="V833" s="454"/>
      <c r="W833" s="454"/>
      <c r="X833" s="454"/>
      <c r="Y833" s="454"/>
      <c r="Z833" s="454"/>
      <c r="AA833" s="454"/>
      <c r="AB833" s="454"/>
      <c r="AC833" s="454"/>
      <c r="AD833" s="454"/>
      <c r="AE833" s="454"/>
      <c r="AF833" s="454"/>
      <c r="AG833" s="454"/>
      <c r="AH833" s="454"/>
      <c r="AI833" s="454"/>
      <c r="AJ833" s="769"/>
    </row>
    <row r="834" spans="1:36" ht="13.5" customHeight="1">
      <c r="A834" s="40"/>
      <c r="B834" s="40"/>
      <c r="C834" s="124"/>
      <c r="D834" s="124">
        <v>4</v>
      </c>
      <c r="E834" s="124" t="s">
        <v>199</v>
      </c>
      <c r="F834" s="451"/>
      <c r="G834" s="41"/>
      <c r="H834" s="66"/>
      <c r="I834" s="66" t="s">
        <v>308</v>
      </c>
      <c r="J834" s="452">
        <v>58667000</v>
      </c>
      <c r="K834" s="453"/>
      <c r="L834" s="217">
        <f>SUM(J834:K834)</f>
        <v>58667000</v>
      </c>
      <c r="M834" s="217"/>
      <c r="N834" s="217"/>
      <c r="O834" s="217"/>
      <c r="P834" s="217"/>
      <c r="Q834" s="217">
        <v>-300000</v>
      </c>
      <c r="R834" s="217"/>
      <c r="S834" s="217">
        <f t="shared" ref="S834" si="916">SUM(M834:R834)</f>
        <v>-300000</v>
      </c>
      <c r="T834" s="217">
        <f t="shared" ref="T834" si="917">S834+L834</f>
        <v>58367000</v>
      </c>
      <c r="U834" s="217"/>
      <c r="V834" s="217"/>
      <c r="W834" s="217"/>
      <c r="X834" s="217"/>
      <c r="Y834" s="217"/>
      <c r="Z834" s="217">
        <f>SUM(U834:Y834)</f>
        <v>0</v>
      </c>
      <c r="AA834" s="217">
        <f>Z834+T834</f>
        <v>58367000</v>
      </c>
      <c r="AB834" s="217"/>
      <c r="AC834" s="217"/>
      <c r="AD834" s="217"/>
      <c r="AE834" s="217">
        <v>-500000</v>
      </c>
      <c r="AF834" s="217"/>
      <c r="AG834" s="217">
        <f t="shared" ref="AG834" si="918">SUM(AB834:AF834)</f>
        <v>-500000</v>
      </c>
      <c r="AH834" s="217">
        <f t="shared" ref="AH834" si="919">AG834+AA834</f>
        <v>57867000</v>
      </c>
      <c r="AI834" s="217">
        <v>53964850</v>
      </c>
      <c r="AJ834" s="764">
        <f>AI834/AH834*100</f>
        <v>93.256692069746137</v>
      </c>
    </row>
    <row r="835" spans="1:36" ht="13.5" customHeight="1">
      <c r="A835" s="40"/>
      <c r="B835" s="40"/>
      <c r="C835" s="124"/>
      <c r="D835" s="124"/>
      <c r="E835" s="124"/>
      <c r="F835" s="451"/>
      <c r="G835" s="41"/>
      <c r="H835" s="66"/>
      <c r="I835" s="66"/>
      <c r="J835" s="452"/>
      <c r="K835" s="453"/>
      <c r="L835" s="454"/>
      <c r="M835" s="454"/>
      <c r="N835" s="454"/>
      <c r="O835" s="454"/>
      <c r="P835" s="454"/>
      <c r="Q835" s="454"/>
      <c r="R835" s="454"/>
      <c r="S835" s="454"/>
      <c r="T835" s="454"/>
      <c r="U835" s="454"/>
      <c r="V835" s="454"/>
      <c r="W835" s="454"/>
      <c r="X835" s="454"/>
      <c r="Y835" s="454"/>
      <c r="Z835" s="454"/>
      <c r="AA835" s="454"/>
      <c r="AB835" s="454"/>
      <c r="AC835" s="454"/>
      <c r="AD835" s="454"/>
      <c r="AE835" s="454"/>
      <c r="AF835" s="454"/>
      <c r="AG835" s="454"/>
      <c r="AH835" s="454"/>
      <c r="AI835" s="454"/>
      <c r="AJ835" s="769"/>
    </row>
    <row r="836" spans="1:36" ht="13.5" customHeight="1">
      <c r="A836" s="40"/>
      <c r="B836" s="40"/>
      <c r="C836" s="124"/>
      <c r="D836" s="124"/>
      <c r="E836" s="124"/>
      <c r="F836" s="173"/>
      <c r="G836" s="64"/>
      <c r="H836" s="65"/>
      <c r="I836" s="64" t="s">
        <v>38</v>
      </c>
      <c r="J836" s="333">
        <f>SUM(J832:J835)</f>
        <v>58667000</v>
      </c>
      <c r="K836" s="457"/>
      <c r="L836" s="458">
        <f>SUM(L832:L835)</f>
        <v>58667000</v>
      </c>
      <c r="M836" s="458">
        <f t="shared" ref="M836:T836" si="920">SUM(M832:M835)</f>
        <v>0</v>
      </c>
      <c r="N836" s="458">
        <f t="shared" si="920"/>
        <v>0</v>
      </c>
      <c r="O836" s="458">
        <f t="shared" si="920"/>
        <v>0</v>
      </c>
      <c r="P836" s="458">
        <f t="shared" si="920"/>
        <v>0</v>
      </c>
      <c r="Q836" s="458">
        <f t="shared" si="920"/>
        <v>-300000</v>
      </c>
      <c r="R836" s="458">
        <f t="shared" si="920"/>
        <v>0</v>
      </c>
      <c r="S836" s="458">
        <f t="shared" si="920"/>
        <v>-300000</v>
      </c>
      <c r="T836" s="458">
        <f t="shared" si="920"/>
        <v>58367000</v>
      </c>
      <c r="U836" s="458"/>
      <c r="V836" s="458"/>
      <c r="W836" s="458"/>
      <c r="X836" s="458"/>
      <c r="Y836" s="458"/>
      <c r="Z836" s="458">
        <f t="shared" ref="Z836:AA836" si="921">SUM(Z832:Z835)</f>
        <v>0</v>
      </c>
      <c r="AA836" s="458">
        <f t="shared" si="921"/>
        <v>58367000</v>
      </c>
      <c r="AB836" s="458"/>
      <c r="AC836" s="458"/>
      <c r="AD836" s="458"/>
      <c r="AE836" s="458">
        <f t="shared" ref="AE836:AI836" si="922">SUM(AE832:AE835)</f>
        <v>-500000</v>
      </c>
      <c r="AF836" s="458"/>
      <c r="AG836" s="458">
        <f t="shared" si="922"/>
        <v>-500000</v>
      </c>
      <c r="AH836" s="458">
        <f t="shared" si="922"/>
        <v>57867000</v>
      </c>
      <c r="AI836" s="458">
        <f t="shared" si="922"/>
        <v>53964850</v>
      </c>
      <c r="AJ836" s="770">
        <f>AI836/AH836*100</f>
        <v>93.256692069746137</v>
      </c>
    </row>
    <row r="837" spans="1:36" ht="14">
      <c r="A837" s="40"/>
      <c r="B837" s="40"/>
      <c r="C837" s="124"/>
      <c r="D837" s="124"/>
      <c r="E837" s="124"/>
      <c r="F837" s="451"/>
      <c r="G837" s="41"/>
      <c r="H837" s="66"/>
      <c r="I837" s="41"/>
      <c r="J837" s="126"/>
      <c r="K837" s="204"/>
      <c r="L837" s="205"/>
      <c r="M837" s="205"/>
      <c r="N837" s="205"/>
      <c r="O837" s="205"/>
      <c r="P837" s="205"/>
      <c r="Q837" s="205"/>
      <c r="R837" s="205"/>
      <c r="S837" s="205"/>
      <c r="T837" s="205"/>
      <c r="U837" s="205"/>
      <c r="V837" s="205"/>
      <c r="W837" s="205"/>
      <c r="X837" s="205"/>
      <c r="Y837" s="205"/>
      <c r="Z837" s="205"/>
      <c r="AA837" s="205"/>
      <c r="AB837" s="205"/>
      <c r="AC837" s="205"/>
      <c r="AD837" s="205"/>
      <c r="AE837" s="205"/>
      <c r="AF837" s="205"/>
      <c r="AG837" s="205"/>
      <c r="AH837" s="205"/>
      <c r="AI837" s="205"/>
      <c r="AJ837" s="747"/>
    </row>
    <row r="838" spans="1:36" ht="14">
      <c r="A838" s="40"/>
      <c r="B838" s="40">
        <v>2</v>
      </c>
      <c r="C838" s="124"/>
      <c r="D838" s="124"/>
      <c r="E838" s="124"/>
      <c r="F838" s="451"/>
      <c r="G838" s="459" t="s">
        <v>114</v>
      </c>
      <c r="H838" s="66"/>
      <c r="I838" s="66"/>
      <c r="J838" s="452"/>
      <c r="K838" s="453"/>
      <c r="L838" s="454"/>
      <c r="M838" s="454"/>
      <c r="N838" s="454"/>
      <c r="O838" s="454"/>
      <c r="P838" s="454"/>
      <c r="Q838" s="454"/>
      <c r="R838" s="454"/>
      <c r="S838" s="454"/>
      <c r="T838" s="454"/>
      <c r="U838" s="454"/>
      <c r="V838" s="454"/>
      <c r="W838" s="454"/>
      <c r="X838" s="454"/>
      <c r="Y838" s="454"/>
      <c r="Z838" s="454"/>
      <c r="AA838" s="454"/>
      <c r="AB838" s="454"/>
      <c r="AC838" s="454"/>
      <c r="AD838" s="454"/>
      <c r="AE838" s="454"/>
      <c r="AF838" s="454"/>
      <c r="AG838" s="454"/>
      <c r="AH838" s="454"/>
      <c r="AI838" s="454"/>
      <c r="AJ838" s="769"/>
    </row>
    <row r="839" spans="1:36" ht="14">
      <c r="A839" s="40"/>
      <c r="B839" s="40"/>
      <c r="C839" s="124">
        <v>1</v>
      </c>
      <c r="D839" s="124"/>
      <c r="E839" s="124"/>
      <c r="F839" s="451"/>
      <c r="G839" s="41"/>
      <c r="H839" s="66" t="s">
        <v>35</v>
      </c>
      <c r="I839" s="66"/>
      <c r="J839" s="126"/>
      <c r="K839" s="204"/>
      <c r="L839" s="205"/>
      <c r="M839" s="205"/>
      <c r="N839" s="205"/>
      <c r="O839" s="205"/>
      <c r="P839" s="205"/>
      <c r="Q839" s="205"/>
      <c r="R839" s="205"/>
      <c r="S839" s="205"/>
      <c r="T839" s="205"/>
      <c r="U839" s="205"/>
      <c r="V839" s="205"/>
      <c r="W839" s="205"/>
      <c r="X839" s="205"/>
      <c r="Y839" s="205"/>
      <c r="Z839" s="205"/>
      <c r="AA839" s="205"/>
      <c r="AB839" s="205"/>
      <c r="AC839" s="205"/>
      <c r="AD839" s="205"/>
      <c r="AE839" s="205"/>
      <c r="AF839" s="205"/>
      <c r="AG839" s="205"/>
      <c r="AH839" s="205"/>
      <c r="AI839" s="205"/>
      <c r="AJ839" s="747"/>
    </row>
    <row r="840" spans="1:36" ht="14">
      <c r="A840" s="40"/>
      <c r="B840" s="40"/>
      <c r="C840" s="124"/>
      <c r="D840" s="124">
        <v>4</v>
      </c>
      <c r="E840" s="124" t="s">
        <v>199</v>
      </c>
      <c r="F840" s="451"/>
      <c r="G840" s="41"/>
      <c r="H840" s="66"/>
      <c r="I840" s="66" t="s">
        <v>308</v>
      </c>
      <c r="J840" s="452">
        <v>3200000</v>
      </c>
      <c r="K840" s="204"/>
      <c r="L840" s="217">
        <f>SUM(J840:K840)</f>
        <v>3200000</v>
      </c>
      <c r="M840" s="217"/>
      <c r="N840" s="217"/>
      <c r="O840" s="217"/>
      <c r="P840" s="217"/>
      <c r="Q840" s="217">
        <v>-165981</v>
      </c>
      <c r="R840" s="217"/>
      <c r="S840" s="217">
        <f t="shared" ref="S840:S841" si="923">SUM(M840:R840)</f>
        <v>-165981</v>
      </c>
      <c r="T840" s="217">
        <f t="shared" ref="T840:T841" si="924">S840+L840</f>
        <v>3034019</v>
      </c>
      <c r="U840" s="217"/>
      <c r="V840" s="217"/>
      <c r="W840" s="217"/>
      <c r="X840" s="217"/>
      <c r="Y840" s="217"/>
      <c r="Z840" s="217">
        <f>SUM(U840:Y840)</f>
        <v>0</v>
      </c>
      <c r="AA840" s="217">
        <f>Z840+T840</f>
        <v>3034019</v>
      </c>
      <c r="AB840" s="217"/>
      <c r="AC840" s="217"/>
      <c r="AD840" s="217"/>
      <c r="AE840" s="217">
        <v>400000</v>
      </c>
      <c r="AF840" s="217"/>
      <c r="AG840" s="217">
        <f t="shared" ref="AG840:AG841" si="925">SUM(AB840:AF840)</f>
        <v>400000</v>
      </c>
      <c r="AH840" s="217">
        <f t="shared" ref="AH840:AH841" si="926">AG840+AA840</f>
        <v>3434019</v>
      </c>
      <c r="AI840" s="217">
        <v>3366958</v>
      </c>
      <c r="AJ840" s="764">
        <f t="shared" ref="AJ840:AJ841" si="927">AI840/AH840*100</f>
        <v>98.047156990104014</v>
      </c>
    </row>
    <row r="841" spans="1:36" ht="14">
      <c r="A841" s="40"/>
      <c r="B841" s="40"/>
      <c r="C841" s="124"/>
      <c r="D841" s="124">
        <v>5</v>
      </c>
      <c r="E841" s="124" t="s">
        <v>199</v>
      </c>
      <c r="F841" s="451"/>
      <c r="G841" s="41"/>
      <c r="H841" s="66"/>
      <c r="I841" s="66" t="s">
        <v>185</v>
      </c>
      <c r="J841" s="452">
        <v>400000</v>
      </c>
      <c r="K841" s="204"/>
      <c r="L841" s="217">
        <f>SUM(J841:K841)</f>
        <v>400000</v>
      </c>
      <c r="M841" s="217"/>
      <c r="N841" s="217"/>
      <c r="O841" s="217"/>
      <c r="P841" s="217"/>
      <c r="Q841" s="217">
        <v>465981</v>
      </c>
      <c r="R841" s="217"/>
      <c r="S841" s="217">
        <f t="shared" si="923"/>
        <v>465981</v>
      </c>
      <c r="T841" s="217">
        <f t="shared" si="924"/>
        <v>865981</v>
      </c>
      <c r="U841" s="217"/>
      <c r="V841" s="217"/>
      <c r="W841" s="217"/>
      <c r="X841" s="217"/>
      <c r="Y841" s="217"/>
      <c r="Z841" s="217">
        <f>SUM(U841:Y841)</f>
        <v>0</v>
      </c>
      <c r="AA841" s="217">
        <f>Z841+T841</f>
        <v>865981</v>
      </c>
      <c r="AB841" s="217"/>
      <c r="AC841" s="217"/>
      <c r="AD841" s="217"/>
      <c r="AE841" s="217">
        <v>100000</v>
      </c>
      <c r="AF841" s="217"/>
      <c r="AG841" s="217">
        <f t="shared" si="925"/>
        <v>100000</v>
      </c>
      <c r="AH841" s="217">
        <f t="shared" si="926"/>
        <v>965981</v>
      </c>
      <c r="AI841" s="217">
        <v>841803</v>
      </c>
      <c r="AJ841" s="764">
        <f t="shared" si="927"/>
        <v>87.14488173162826</v>
      </c>
    </row>
    <row r="842" spans="1:36" ht="7.5" customHeight="1">
      <c r="A842" s="40"/>
      <c r="B842" s="40"/>
      <c r="C842" s="124"/>
      <c r="D842" s="124"/>
      <c r="E842" s="124"/>
      <c r="F842" s="451"/>
      <c r="G842" s="41"/>
      <c r="H842" s="66"/>
      <c r="I842" s="66"/>
      <c r="J842" s="452"/>
      <c r="K842" s="204"/>
      <c r="L842" s="217"/>
      <c r="M842" s="217"/>
      <c r="N842" s="217"/>
      <c r="O842" s="217"/>
      <c r="P842" s="217"/>
      <c r="Q842" s="217"/>
      <c r="R842" s="217"/>
      <c r="S842" s="217"/>
      <c r="T842" s="217"/>
      <c r="U842" s="217"/>
      <c r="V842" s="217"/>
      <c r="W842" s="217"/>
      <c r="X842" s="217"/>
      <c r="Y842" s="217"/>
      <c r="Z842" s="217"/>
      <c r="AA842" s="217"/>
      <c r="AB842" s="217"/>
      <c r="AC842" s="217"/>
      <c r="AD842" s="217"/>
      <c r="AE842" s="217"/>
      <c r="AF842" s="217"/>
      <c r="AG842" s="217"/>
      <c r="AH842" s="217"/>
      <c r="AI842" s="217"/>
      <c r="AJ842" s="764"/>
    </row>
    <row r="843" spans="1:36" ht="14">
      <c r="A843" s="40"/>
      <c r="B843" s="40"/>
      <c r="C843" s="124"/>
      <c r="D843" s="124"/>
      <c r="E843" s="124"/>
      <c r="F843" s="173"/>
      <c r="G843" s="64"/>
      <c r="H843" s="65"/>
      <c r="I843" s="64" t="s">
        <v>38</v>
      </c>
      <c r="J843" s="333">
        <f>SUM(J840:J842)</f>
        <v>3600000</v>
      </c>
      <c r="K843" s="457"/>
      <c r="L843" s="458">
        <f>SUM(L840:L842)</f>
        <v>3600000</v>
      </c>
      <c r="M843" s="458">
        <f t="shared" ref="M843:T843" si="928">SUM(M840:M842)</f>
        <v>0</v>
      </c>
      <c r="N843" s="458">
        <f t="shared" si="928"/>
        <v>0</v>
      </c>
      <c r="O843" s="458">
        <f t="shared" si="928"/>
        <v>0</v>
      </c>
      <c r="P843" s="458">
        <f t="shared" si="928"/>
        <v>0</v>
      </c>
      <c r="Q843" s="458">
        <f t="shared" si="928"/>
        <v>300000</v>
      </c>
      <c r="R843" s="458">
        <f t="shared" si="928"/>
        <v>0</v>
      </c>
      <c r="S843" s="458">
        <f t="shared" si="928"/>
        <v>300000</v>
      </c>
      <c r="T843" s="458">
        <f t="shared" si="928"/>
        <v>3900000</v>
      </c>
      <c r="U843" s="458"/>
      <c r="V843" s="458"/>
      <c r="W843" s="458"/>
      <c r="X843" s="458"/>
      <c r="Y843" s="458"/>
      <c r="Z843" s="458">
        <f t="shared" ref="Z843:AA843" si="929">SUM(Z840:Z842)</f>
        <v>0</v>
      </c>
      <c r="AA843" s="458">
        <f t="shared" si="929"/>
        <v>3900000</v>
      </c>
      <c r="AB843" s="458"/>
      <c r="AC843" s="458"/>
      <c r="AD843" s="458"/>
      <c r="AE843" s="458">
        <f t="shared" ref="AE843:AI843" si="930">SUM(AE840:AE842)</f>
        <v>500000</v>
      </c>
      <c r="AF843" s="458"/>
      <c r="AG843" s="458">
        <f t="shared" si="930"/>
        <v>500000</v>
      </c>
      <c r="AH843" s="458">
        <f t="shared" si="930"/>
        <v>4400000</v>
      </c>
      <c r="AI843" s="458">
        <f t="shared" si="930"/>
        <v>4208761</v>
      </c>
      <c r="AJ843" s="770">
        <f>AI843/AH843*100</f>
        <v>95.653659090909088</v>
      </c>
    </row>
    <row r="844" spans="1:36" ht="13.5" customHeight="1">
      <c r="A844" s="40"/>
      <c r="B844" s="40"/>
      <c r="C844" s="124"/>
      <c r="D844" s="124"/>
      <c r="E844" s="124"/>
      <c r="F844" s="451"/>
      <c r="G844" s="41"/>
      <c r="H844" s="66"/>
      <c r="I844" s="41"/>
      <c r="J844" s="126"/>
      <c r="K844" s="204"/>
      <c r="L844" s="205"/>
      <c r="M844" s="205"/>
      <c r="N844" s="205"/>
      <c r="O844" s="205"/>
      <c r="P844" s="205"/>
      <c r="Q844" s="205"/>
      <c r="R844" s="205"/>
      <c r="S844" s="205"/>
      <c r="T844" s="205"/>
      <c r="U844" s="205"/>
      <c r="V844" s="205"/>
      <c r="W844" s="205"/>
      <c r="X844" s="205"/>
      <c r="Y844" s="205"/>
      <c r="Z844" s="205"/>
      <c r="AA844" s="205"/>
      <c r="AB844" s="205"/>
      <c r="AC844" s="205"/>
      <c r="AD844" s="205"/>
      <c r="AE844" s="205"/>
      <c r="AF844" s="205"/>
      <c r="AG844" s="205"/>
      <c r="AH844" s="205"/>
      <c r="AI844" s="205"/>
      <c r="AJ844" s="747"/>
    </row>
    <row r="845" spans="1:36" ht="13.5" customHeight="1">
      <c r="A845" s="40"/>
      <c r="B845" s="40">
        <v>3</v>
      </c>
      <c r="C845" s="124"/>
      <c r="D845" s="124"/>
      <c r="E845" s="124"/>
      <c r="F845" s="451"/>
      <c r="G845" s="459" t="s">
        <v>117</v>
      </c>
      <c r="H845" s="66"/>
      <c r="I845" s="66"/>
      <c r="J845" s="452"/>
      <c r="K845" s="453"/>
      <c r="L845" s="454"/>
      <c r="M845" s="454"/>
      <c r="N845" s="454"/>
      <c r="O845" s="454"/>
      <c r="P845" s="454"/>
      <c r="Q845" s="454"/>
      <c r="R845" s="454"/>
      <c r="S845" s="454"/>
      <c r="T845" s="454"/>
      <c r="U845" s="454"/>
      <c r="V845" s="454"/>
      <c r="W845" s="454"/>
      <c r="X845" s="454"/>
      <c r="Y845" s="454"/>
      <c r="Z845" s="454"/>
      <c r="AA845" s="454"/>
      <c r="AB845" s="454"/>
      <c r="AC845" s="454"/>
      <c r="AD845" s="454"/>
      <c r="AE845" s="454"/>
      <c r="AF845" s="454"/>
      <c r="AG845" s="454"/>
      <c r="AH845" s="454"/>
      <c r="AI845" s="454"/>
      <c r="AJ845" s="769"/>
    </row>
    <row r="846" spans="1:36" ht="14">
      <c r="A846" s="40"/>
      <c r="B846" s="40"/>
      <c r="C846" s="124">
        <v>1</v>
      </c>
      <c r="D846" s="124"/>
      <c r="E846" s="124"/>
      <c r="F846" s="451"/>
      <c r="G846" s="41"/>
      <c r="H846" s="66" t="s">
        <v>35</v>
      </c>
      <c r="I846" s="66"/>
      <c r="J846" s="452"/>
      <c r="K846" s="453"/>
      <c r="L846" s="454"/>
      <c r="M846" s="454"/>
      <c r="N846" s="454"/>
      <c r="O846" s="454"/>
      <c r="P846" s="454"/>
      <c r="Q846" s="454"/>
      <c r="R846" s="454"/>
      <c r="S846" s="454"/>
      <c r="T846" s="454"/>
      <c r="U846" s="454"/>
      <c r="V846" s="454"/>
      <c r="W846" s="454"/>
      <c r="X846" s="454"/>
      <c r="Y846" s="454"/>
      <c r="Z846" s="454"/>
      <c r="AA846" s="454"/>
      <c r="AB846" s="454"/>
      <c r="AC846" s="454"/>
      <c r="AD846" s="454"/>
      <c r="AE846" s="454"/>
      <c r="AF846" s="454"/>
      <c r="AG846" s="454"/>
      <c r="AH846" s="454"/>
      <c r="AI846" s="454"/>
      <c r="AJ846" s="769"/>
    </row>
    <row r="847" spans="1:36" ht="14">
      <c r="A847" s="40"/>
      <c r="B847" s="40"/>
      <c r="C847" s="124"/>
      <c r="D847" s="124">
        <v>4</v>
      </c>
      <c r="E847" s="124" t="s">
        <v>198</v>
      </c>
      <c r="F847" s="451"/>
      <c r="G847" s="41"/>
      <c r="H847" s="66"/>
      <c r="I847" s="66" t="s">
        <v>308</v>
      </c>
      <c r="J847" s="452">
        <v>8500000</v>
      </c>
      <c r="K847" s="453"/>
      <c r="L847" s="217">
        <f>SUM(J847:K847)</f>
        <v>8500000</v>
      </c>
      <c r="M847" s="217">
        <v>12800000</v>
      </c>
      <c r="N847" s="217"/>
      <c r="O847" s="217"/>
      <c r="P847" s="217"/>
      <c r="Q847" s="217"/>
      <c r="R847" s="217"/>
      <c r="S847" s="217">
        <f t="shared" ref="S847" si="931">SUM(M847:R847)</f>
        <v>12800000</v>
      </c>
      <c r="T847" s="217">
        <f t="shared" ref="T847" si="932">S847+L847</f>
        <v>21300000</v>
      </c>
      <c r="U847" s="217"/>
      <c r="V847" s="217"/>
      <c r="W847" s="217">
        <v>200000</v>
      </c>
      <c r="X847" s="217"/>
      <c r="Y847" s="217"/>
      <c r="Z847" s="217">
        <f>SUM(U847:Y847)</f>
        <v>200000</v>
      </c>
      <c r="AA847" s="217">
        <f>Z847+T847</f>
        <v>21500000</v>
      </c>
      <c r="AB847" s="217"/>
      <c r="AC847" s="217"/>
      <c r="AD847" s="217"/>
      <c r="AE847" s="217"/>
      <c r="AF847" s="217"/>
      <c r="AG847" s="217">
        <f t="shared" ref="AG847" si="933">SUM(AB847:AF847)</f>
        <v>0</v>
      </c>
      <c r="AH847" s="217">
        <f t="shared" ref="AH847" si="934">AG847+AA847</f>
        <v>21500000</v>
      </c>
      <c r="AI847" s="217">
        <v>2950000</v>
      </c>
      <c r="AJ847" s="764">
        <f>AI847/AH847*100</f>
        <v>13.720930232558141</v>
      </c>
    </row>
    <row r="848" spans="1:36" ht="5.5" customHeight="1">
      <c r="A848" s="40"/>
      <c r="B848" s="40"/>
      <c r="C848" s="124"/>
      <c r="D848" s="124"/>
      <c r="E848" s="124"/>
      <c r="F848" s="451"/>
      <c r="G848" s="41"/>
      <c r="H848" s="66"/>
      <c r="I848" s="66"/>
      <c r="J848" s="452"/>
      <c r="K848" s="453"/>
      <c r="L848" s="454"/>
      <c r="M848" s="454"/>
      <c r="N848" s="454"/>
      <c r="O848" s="454"/>
      <c r="P848" s="454"/>
      <c r="Q848" s="454"/>
      <c r="R848" s="454"/>
      <c r="S848" s="454"/>
      <c r="T848" s="454"/>
      <c r="U848" s="454"/>
      <c r="V848" s="454"/>
      <c r="W848" s="454"/>
      <c r="X848" s="454"/>
      <c r="Y848" s="454"/>
      <c r="Z848" s="454"/>
      <c r="AA848" s="454"/>
      <c r="AB848" s="454"/>
      <c r="AC848" s="454"/>
      <c r="AD848" s="454"/>
      <c r="AE848" s="454"/>
      <c r="AF848" s="454"/>
      <c r="AG848" s="454"/>
      <c r="AH848" s="454"/>
      <c r="AI848" s="454"/>
      <c r="AJ848" s="769"/>
    </row>
    <row r="849" spans="1:36" ht="14">
      <c r="A849" s="40"/>
      <c r="B849" s="40"/>
      <c r="C849" s="124"/>
      <c r="D849" s="124"/>
      <c r="E849" s="124"/>
      <c r="F849" s="173"/>
      <c r="G849" s="64"/>
      <c r="H849" s="65"/>
      <c r="I849" s="64" t="s">
        <v>38</v>
      </c>
      <c r="J849" s="333">
        <f>SUM(J844:J848)</f>
        <v>8500000</v>
      </c>
      <c r="K849" s="457"/>
      <c r="L849" s="458">
        <f>SUM(L844:L848)</f>
        <v>8500000</v>
      </c>
      <c r="M849" s="458">
        <f t="shared" ref="M849:T849" si="935">SUM(M844:M848)</f>
        <v>12800000</v>
      </c>
      <c r="N849" s="458">
        <f t="shared" si="935"/>
        <v>0</v>
      </c>
      <c r="O849" s="458">
        <f t="shared" si="935"/>
        <v>0</v>
      </c>
      <c r="P849" s="458">
        <f t="shared" si="935"/>
        <v>0</v>
      </c>
      <c r="Q849" s="458">
        <f t="shared" si="935"/>
        <v>0</v>
      </c>
      <c r="R849" s="458">
        <f t="shared" si="935"/>
        <v>0</v>
      </c>
      <c r="S849" s="458">
        <f t="shared" si="935"/>
        <v>12800000</v>
      </c>
      <c r="T849" s="458">
        <f t="shared" si="935"/>
        <v>21300000</v>
      </c>
      <c r="U849" s="458"/>
      <c r="V849" s="458"/>
      <c r="W849" s="458">
        <f t="shared" ref="W849" si="936">SUM(W844:W848)</f>
        <v>200000</v>
      </c>
      <c r="X849" s="458"/>
      <c r="Y849" s="458"/>
      <c r="Z849" s="458">
        <f t="shared" ref="Z849:AA849" si="937">SUM(Z844:Z848)</f>
        <v>200000</v>
      </c>
      <c r="AA849" s="458">
        <f t="shared" si="937"/>
        <v>21500000</v>
      </c>
      <c r="AB849" s="458"/>
      <c r="AC849" s="458"/>
      <c r="AD849" s="458">
        <f t="shared" ref="AD849" si="938">SUM(AD844:AD848)</f>
        <v>0</v>
      </c>
      <c r="AE849" s="458"/>
      <c r="AF849" s="458"/>
      <c r="AG849" s="458">
        <f t="shared" ref="AG849:AI849" si="939">SUM(AG844:AG848)</f>
        <v>0</v>
      </c>
      <c r="AH849" s="458">
        <f t="shared" si="939"/>
        <v>21500000</v>
      </c>
      <c r="AI849" s="458">
        <f t="shared" si="939"/>
        <v>2950000</v>
      </c>
      <c r="AJ849" s="770">
        <f>AI849/AH849*100</f>
        <v>13.720930232558141</v>
      </c>
    </row>
    <row r="850" spans="1:36" ht="13.5" customHeight="1">
      <c r="A850" s="40"/>
      <c r="B850" s="40"/>
      <c r="C850" s="124"/>
      <c r="D850" s="124"/>
      <c r="E850" s="124"/>
      <c r="F850" s="451"/>
      <c r="G850" s="41"/>
      <c r="H850" s="66"/>
      <c r="I850" s="41"/>
      <c r="J850" s="126"/>
      <c r="K850" s="204"/>
      <c r="L850" s="205"/>
      <c r="M850" s="205"/>
      <c r="N850" s="205"/>
      <c r="O850" s="205"/>
      <c r="P850" s="205"/>
      <c r="Q850" s="205"/>
      <c r="R850" s="205"/>
      <c r="S850" s="205"/>
      <c r="T850" s="205"/>
      <c r="U850" s="205"/>
      <c r="V850" s="205"/>
      <c r="W850" s="205"/>
      <c r="X850" s="205"/>
      <c r="Y850" s="205"/>
      <c r="Z850" s="205"/>
      <c r="AA850" s="205"/>
      <c r="AB850" s="205"/>
      <c r="AC850" s="205"/>
      <c r="AD850" s="205"/>
      <c r="AE850" s="205"/>
      <c r="AF850" s="205"/>
      <c r="AG850" s="205"/>
      <c r="AH850" s="205"/>
      <c r="AI850" s="205"/>
      <c r="AJ850" s="747"/>
    </row>
    <row r="851" spans="1:36" ht="13.5" customHeight="1">
      <c r="A851" s="40"/>
      <c r="B851" s="40">
        <v>4</v>
      </c>
      <c r="C851" s="124"/>
      <c r="D851" s="124"/>
      <c r="E851" s="124"/>
      <c r="F851" s="451"/>
      <c r="G851" s="459" t="s">
        <v>340</v>
      </c>
      <c r="H851" s="66"/>
      <c r="I851" s="66"/>
      <c r="J851" s="452"/>
      <c r="K851" s="453"/>
      <c r="L851" s="454"/>
      <c r="M851" s="454"/>
      <c r="N851" s="454"/>
      <c r="O851" s="454"/>
      <c r="P851" s="454"/>
      <c r="Q851" s="454"/>
      <c r="R851" s="454"/>
      <c r="S851" s="454"/>
      <c r="T851" s="454"/>
      <c r="U851" s="454"/>
      <c r="V851" s="454"/>
      <c r="W851" s="454"/>
      <c r="X851" s="454"/>
      <c r="Y851" s="454"/>
      <c r="Z851" s="454"/>
      <c r="AA851" s="454"/>
      <c r="AB851" s="454"/>
      <c r="AC851" s="454"/>
      <c r="AD851" s="454"/>
      <c r="AE851" s="454"/>
      <c r="AF851" s="454"/>
      <c r="AG851" s="454"/>
      <c r="AH851" s="454"/>
      <c r="AI851" s="454"/>
      <c r="AJ851" s="769"/>
    </row>
    <row r="852" spans="1:36" ht="14">
      <c r="A852" s="40"/>
      <c r="B852" s="40"/>
      <c r="C852" s="124">
        <v>1</v>
      </c>
      <c r="D852" s="124"/>
      <c r="E852" s="124"/>
      <c r="F852" s="451"/>
      <c r="G852" s="41"/>
      <c r="H852" s="66" t="s">
        <v>35</v>
      </c>
      <c r="I852" s="66"/>
      <c r="J852" s="452"/>
      <c r="K852" s="453"/>
      <c r="L852" s="454"/>
      <c r="M852" s="454"/>
      <c r="N852" s="454"/>
      <c r="O852" s="454"/>
      <c r="P852" s="454"/>
      <c r="Q852" s="454"/>
      <c r="R852" s="454"/>
      <c r="S852" s="454"/>
      <c r="T852" s="454"/>
      <c r="U852" s="454"/>
      <c r="V852" s="454"/>
      <c r="W852" s="454"/>
      <c r="X852" s="454"/>
      <c r="Y852" s="454"/>
      <c r="Z852" s="454"/>
      <c r="AA852" s="454"/>
      <c r="AB852" s="454"/>
      <c r="AC852" s="454"/>
      <c r="AD852" s="454"/>
      <c r="AE852" s="454"/>
      <c r="AF852" s="454"/>
      <c r="AG852" s="454"/>
      <c r="AH852" s="454"/>
      <c r="AI852" s="454"/>
      <c r="AJ852" s="769"/>
    </row>
    <row r="853" spans="1:36" ht="14">
      <c r="A853" s="40"/>
      <c r="B853" s="40"/>
      <c r="C853" s="124"/>
      <c r="D853" s="124">
        <v>4</v>
      </c>
      <c r="E853" s="124" t="s">
        <v>198</v>
      </c>
      <c r="F853" s="451"/>
      <c r="G853" s="41"/>
      <c r="H853" s="66"/>
      <c r="I853" s="66" t="s">
        <v>308</v>
      </c>
      <c r="J853" s="452">
        <v>450000</v>
      </c>
      <c r="K853" s="453"/>
      <c r="L853" s="217">
        <f>SUM(J853:K853)</f>
        <v>450000</v>
      </c>
      <c r="M853" s="217"/>
      <c r="N853" s="217"/>
      <c r="O853" s="217"/>
      <c r="P853" s="217"/>
      <c r="Q853" s="217"/>
      <c r="R853" s="217"/>
      <c r="S853" s="217">
        <f t="shared" ref="S853" si="940">SUM(M853:R853)</f>
        <v>0</v>
      </c>
      <c r="T853" s="217">
        <f t="shared" ref="T853" si="941">S853+L853</f>
        <v>450000</v>
      </c>
      <c r="U853" s="217"/>
      <c r="V853" s="217"/>
      <c r="W853" s="217"/>
      <c r="X853" s="217"/>
      <c r="Y853" s="217"/>
      <c r="Z853" s="217">
        <f>SUM(U853:Y853)</f>
        <v>0</v>
      </c>
      <c r="AA853" s="217">
        <f>Z853+T853</f>
        <v>450000</v>
      </c>
      <c r="AB853" s="217"/>
      <c r="AC853" s="217"/>
      <c r="AD853" s="217"/>
      <c r="AE853" s="217"/>
      <c r="AF853" s="217"/>
      <c r="AG853" s="217">
        <f t="shared" ref="AG853" si="942">SUM(AB853:AF853)</f>
        <v>0</v>
      </c>
      <c r="AH853" s="217">
        <f t="shared" ref="AH853" si="943">AG853+AA853</f>
        <v>450000</v>
      </c>
      <c r="AI853" s="217"/>
      <c r="AJ853" s="764"/>
    </row>
    <row r="854" spans="1:36" ht="14">
      <c r="A854" s="40"/>
      <c r="B854" s="40"/>
      <c r="C854" s="124"/>
      <c r="D854" s="124"/>
      <c r="E854" s="124"/>
      <c r="F854" s="41"/>
      <c r="G854" s="41"/>
      <c r="H854" s="66"/>
      <c r="I854" s="66"/>
      <c r="J854" s="452"/>
      <c r="K854" s="453"/>
      <c r="L854" s="217"/>
      <c r="M854" s="217"/>
      <c r="N854" s="217"/>
      <c r="O854" s="217"/>
      <c r="P854" s="217"/>
      <c r="Q854" s="217"/>
      <c r="R854" s="217"/>
      <c r="S854" s="217"/>
      <c r="T854" s="217"/>
      <c r="U854" s="217"/>
      <c r="V854" s="217"/>
      <c r="W854" s="217"/>
      <c r="X854" s="217"/>
      <c r="Y854" s="217"/>
      <c r="Z854" s="217"/>
      <c r="AA854" s="217"/>
      <c r="AB854" s="217"/>
      <c r="AC854" s="217"/>
      <c r="AD854" s="217"/>
      <c r="AE854" s="217"/>
      <c r="AF854" s="217"/>
      <c r="AG854" s="217"/>
      <c r="AH854" s="217"/>
      <c r="AI854" s="217"/>
      <c r="AJ854" s="764"/>
    </row>
    <row r="855" spans="1:36" ht="14">
      <c r="A855" s="40"/>
      <c r="B855" s="40"/>
      <c r="C855" s="124"/>
      <c r="D855" s="124"/>
      <c r="E855" s="124"/>
      <c r="F855" s="173"/>
      <c r="G855" s="64"/>
      <c r="H855" s="65"/>
      <c r="I855" s="64" t="s">
        <v>38</v>
      </c>
      <c r="J855" s="333">
        <f>SUM(J850:J854)</f>
        <v>450000</v>
      </c>
      <c r="K855" s="457"/>
      <c r="L855" s="458">
        <f>SUM(L850:L854)</f>
        <v>450000</v>
      </c>
      <c r="M855" s="458">
        <f t="shared" ref="M855:T855" si="944">SUM(M850:M854)</f>
        <v>0</v>
      </c>
      <c r="N855" s="458">
        <f t="shared" si="944"/>
        <v>0</v>
      </c>
      <c r="O855" s="458">
        <f t="shared" si="944"/>
        <v>0</v>
      </c>
      <c r="P855" s="458">
        <f t="shared" si="944"/>
        <v>0</v>
      </c>
      <c r="Q855" s="458">
        <f t="shared" si="944"/>
        <v>0</v>
      </c>
      <c r="R855" s="458">
        <f t="shared" si="944"/>
        <v>0</v>
      </c>
      <c r="S855" s="458">
        <f t="shared" si="944"/>
        <v>0</v>
      </c>
      <c r="T855" s="458">
        <f t="shared" si="944"/>
        <v>450000</v>
      </c>
      <c r="U855" s="458"/>
      <c r="V855" s="458"/>
      <c r="W855" s="458"/>
      <c r="X855" s="458"/>
      <c r="Y855" s="458"/>
      <c r="Z855" s="458">
        <f t="shared" ref="Z855:AA855" si="945">SUM(Z850:Z854)</f>
        <v>0</v>
      </c>
      <c r="AA855" s="458">
        <f t="shared" si="945"/>
        <v>450000</v>
      </c>
      <c r="AB855" s="458"/>
      <c r="AC855" s="458"/>
      <c r="AD855" s="458"/>
      <c r="AE855" s="458"/>
      <c r="AF855" s="458"/>
      <c r="AG855" s="458">
        <f t="shared" ref="AG855:AH855" si="946">SUM(AG850:AG854)</f>
        <v>0</v>
      </c>
      <c r="AH855" s="458">
        <f t="shared" si="946"/>
        <v>450000</v>
      </c>
      <c r="AI855" s="458"/>
      <c r="AJ855" s="770"/>
    </row>
    <row r="856" spans="1:36" ht="14">
      <c r="A856" s="160"/>
      <c r="B856" s="160"/>
      <c r="C856" s="161"/>
      <c r="D856" s="161"/>
      <c r="E856" s="161"/>
      <c r="F856" s="41"/>
      <c r="G856" s="41"/>
      <c r="H856" s="66"/>
      <c r="I856" s="41"/>
      <c r="J856" s="205"/>
      <c r="K856" s="467"/>
      <c r="L856" s="205"/>
      <c r="M856" s="205"/>
      <c r="N856" s="205"/>
      <c r="O856" s="205"/>
      <c r="P856" s="205"/>
      <c r="Q856" s="205"/>
      <c r="R856" s="205"/>
      <c r="S856" s="205"/>
      <c r="T856" s="205"/>
      <c r="U856" s="205"/>
      <c r="V856" s="205"/>
      <c r="W856" s="205"/>
      <c r="X856" s="205"/>
      <c r="Y856" s="205"/>
      <c r="Z856" s="205"/>
      <c r="AA856" s="205"/>
      <c r="AB856" s="205"/>
      <c r="AC856" s="205"/>
      <c r="AD856" s="205"/>
      <c r="AE856" s="205"/>
      <c r="AF856" s="205"/>
      <c r="AG856" s="205"/>
      <c r="AH856" s="205"/>
      <c r="AI856" s="205"/>
      <c r="AJ856" s="747"/>
    </row>
    <row r="857" spans="1:36" ht="14">
      <c r="A857" s="160"/>
      <c r="B857" s="160">
        <v>5</v>
      </c>
      <c r="C857" s="161"/>
      <c r="D857" s="161"/>
      <c r="E857" s="161"/>
      <c r="F857" s="41"/>
      <c r="G857" s="41" t="s">
        <v>617</v>
      </c>
      <c r="H857" s="66"/>
      <c r="I857" s="41"/>
      <c r="J857" s="205"/>
      <c r="K857" s="467"/>
      <c r="L857" s="205"/>
      <c r="M857" s="205"/>
      <c r="N857" s="205"/>
      <c r="O857" s="220"/>
      <c r="P857" s="205"/>
      <c r="Q857" s="205"/>
      <c r="R857" s="205"/>
      <c r="S857" s="205"/>
      <c r="T857" s="205"/>
      <c r="U857" s="205"/>
      <c r="V857" s="220"/>
      <c r="W857" s="205"/>
      <c r="X857" s="205"/>
      <c r="Y857" s="205"/>
      <c r="Z857" s="205"/>
      <c r="AA857" s="205"/>
      <c r="AB857" s="205"/>
      <c r="AC857" s="220"/>
      <c r="AD857" s="205"/>
      <c r="AE857" s="205"/>
      <c r="AF857" s="205"/>
      <c r="AG857" s="205"/>
      <c r="AH857" s="205"/>
      <c r="AI857" s="205"/>
      <c r="AJ857" s="747"/>
    </row>
    <row r="858" spans="1:36" ht="14">
      <c r="A858" s="160"/>
      <c r="B858" s="160"/>
      <c r="C858" s="161">
        <v>1</v>
      </c>
      <c r="D858" s="161"/>
      <c r="E858" s="161"/>
      <c r="F858" s="41"/>
      <c r="G858" s="41"/>
      <c r="H858" s="66" t="s">
        <v>35</v>
      </c>
      <c r="I858" s="66"/>
      <c r="J858" s="205"/>
      <c r="K858" s="467"/>
      <c r="L858" s="205"/>
      <c r="M858" s="205"/>
      <c r="N858" s="205"/>
      <c r="O858" s="220"/>
      <c r="P858" s="205"/>
      <c r="Q858" s="205"/>
      <c r="R858" s="205"/>
      <c r="S858" s="217"/>
      <c r="T858" s="217"/>
      <c r="U858" s="205"/>
      <c r="V858" s="220"/>
      <c r="W858" s="205"/>
      <c r="X858" s="205"/>
      <c r="Y858" s="205"/>
      <c r="Z858" s="217"/>
      <c r="AA858" s="217"/>
      <c r="AB858" s="205"/>
      <c r="AC858" s="220"/>
      <c r="AD858" s="205"/>
      <c r="AE858" s="205"/>
      <c r="AF858" s="205"/>
      <c r="AG858" s="217"/>
      <c r="AH858" s="217"/>
      <c r="AI858" s="217"/>
      <c r="AJ858" s="764"/>
    </row>
    <row r="859" spans="1:36" ht="14">
      <c r="A859" s="160"/>
      <c r="B859" s="160"/>
      <c r="C859" s="161"/>
      <c r="D859" s="161">
        <v>3</v>
      </c>
      <c r="E859" s="161" t="s">
        <v>199</v>
      </c>
      <c r="F859" s="41"/>
      <c r="G859" s="41"/>
      <c r="H859" s="66"/>
      <c r="I859" s="66" t="s">
        <v>116</v>
      </c>
      <c r="J859" s="205"/>
      <c r="K859" s="467"/>
      <c r="L859" s="205"/>
      <c r="M859" s="205"/>
      <c r="N859" s="205"/>
      <c r="O859" s="220">
        <v>1265136</v>
      </c>
      <c r="P859" s="205"/>
      <c r="Q859" s="205"/>
      <c r="R859" s="205"/>
      <c r="S859" s="217">
        <f t="shared" ref="S859" si="947">SUM(M859:R859)</f>
        <v>1265136</v>
      </c>
      <c r="T859" s="217">
        <f t="shared" ref="T859" si="948">S859+L859</f>
        <v>1265136</v>
      </c>
      <c r="U859" s="205"/>
      <c r="V859" s="220"/>
      <c r="W859" s="205"/>
      <c r="X859" s="205"/>
      <c r="Y859" s="205"/>
      <c r="Z859" s="217">
        <f>SUM(U859:Y859)</f>
        <v>0</v>
      </c>
      <c r="AA859" s="217">
        <f>Z859+T859</f>
        <v>1265136</v>
      </c>
      <c r="AB859" s="205"/>
      <c r="AC859" s="220"/>
      <c r="AD859" s="205"/>
      <c r="AE859" s="205"/>
      <c r="AF859" s="205"/>
      <c r="AG859" s="217">
        <f t="shared" ref="AG859" si="949">SUM(AB859:AF859)</f>
        <v>0</v>
      </c>
      <c r="AH859" s="217">
        <f t="shared" ref="AH859" si="950">AG859+AA859</f>
        <v>1265136</v>
      </c>
      <c r="AI859" s="217">
        <v>1106994</v>
      </c>
      <c r="AJ859" s="764">
        <f>AI859/AH859*100</f>
        <v>87.5</v>
      </c>
    </row>
    <row r="860" spans="1:36" ht="14">
      <c r="A860" s="160"/>
      <c r="B860" s="160"/>
      <c r="C860" s="161"/>
      <c r="D860" s="161"/>
      <c r="E860" s="161"/>
      <c r="F860" s="41"/>
      <c r="G860" s="41"/>
      <c r="H860" s="66"/>
      <c r="I860" s="66"/>
      <c r="J860" s="205"/>
      <c r="K860" s="467"/>
      <c r="L860" s="205"/>
      <c r="M860" s="205"/>
      <c r="N860" s="205"/>
      <c r="O860" s="205"/>
      <c r="P860" s="205"/>
      <c r="Q860" s="205"/>
      <c r="R860" s="205"/>
      <c r="S860" s="205"/>
      <c r="T860" s="205"/>
      <c r="U860" s="205"/>
      <c r="V860" s="205"/>
      <c r="W860" s="205"/>
      <c r="X860" s="205"/>
      <c r="Y860" s="205"/>
      <c r="Z860" s="205"/>
      <c r="AA860" s="205"/>
      <c r="AB860" s="205"/>
      <c r="AC860" s="205"/>
      <c r="AD860" s="205"/>
      <c r="AE860" s="205"/>
      <c r="AF860" s="205"/>
      <c r="AG860" s="205"/>
      <c r="AH860" s="205"/>
      <c r="AI860" s="205"/>
      <c r="AJ860" s="747"/>
    </row>
    <row r="861" spans="1:36" ht="14">
      <c r="A861" s="40"/>
      <c r="B861" s="40"/>
      <c r="C861" s="124"/>
      <c r="D861" s="124"/>
      <c r="E861" s="124"/>
      <c r="F861" s="173"/>
      <c r="G861" s="64"/>
      <c r="H861" s="65"/>
      <c r="I861" s="64" t="s">
        <v>38</v>
      </c>
      <c r="J861" s="333">
        <f>SUM(J855:J859)</f>
        <v>450000</v>
      </c>
      <c r="K861" s="457"/>
      <c r="L861" s="458"/>
      <c r="M861" s="458">
        <f>SUM(M855:M859)</f>
        <v>0</v>
      </c>
      <c r="N861" s="458">
        <f>SUM(N855:N859)</f>
        <v>0</v>
      </c>
      <c r="O861" s="458">
        <f t="shared" ref="O861:S861" si="951">SUM(O859:O860)</f>
        <v>1265136</v>
      </c>
      <c r="P861" s="458">
        <f t="shared" si="951"/>
        <v>0</v>
      </c>
      <c r="Q861" s="458">
        <f t="shared" si="951"/>
        <v>0</v>
      </c>
      <c r="R861" s="458">
        <f t="shared" si="951"/>
        <v>0</v>
      </c>
      <c r="S861" s="458">
        <f t="shared" si="951"/>
        <v>1265136</v>
      </c>
      <c r="T861" s="458">
        <f>SUM(T859:T860)</f>
        <v>1265136</v>
      </c>
      <c r="U861" s="458"/>
      <c r="V861" s="458"/>
      <c r="W861" s="458"/>
      <c r="X861" s="458"/>
      <c r="Y861" s="458"/>
      <c r="Z861" s="458">
        <f t="shared" ref="Z861" si="952">SUM(Z859:Z860)</f>
        <v>0</v>
      </c>
      <c r="AA861" s="458">
        <f>SUM(AA859:AA860)</f>
        <v>1265136</v>
      </c>
      <c r="AB861" s="458"/>
      <c r="AC861" s="458"/>
      <c r="AD861" s="458"/>
      <c r="AE861" s="458"/>
      <c r="AF861" s="458"/>
      <c r="AG861" s="458">
        <f t="shared" ref="AG861" si="953">SUM(AG859:AG860)</f>
        <v>0</v>
      </c>
      <c r="AH861" s="458">
        <f>SUM(AH859:AH860)</f>
        <v>1265136</v>
      </c>
      <c r="AI861" s="458">
        <f>SUM(AI859:AI860)</f>
        <v>1106994</v>
      </c>
      <c r="AJ861" s="770">
        <f>AI861/AH861*100</f>
        <v>87.5</v>
      </c>
    </row>
    <row r="862" spans="1:36" ht="6.5" customHeight="1">
      <c r="A862" s="40"/>
      <c r="B862" s="40"/>
      <c r="C862" s="124"/>
      <c r="D862" s="124"/>
      <c r="E862" s="124"/>
      <c r="F862" s="41"/>
      <c r="G862" s="41"/>
      <c r="H862" s="66"/>
      <c r="I862" s="41"/>
      <c r="J862" s="126"/>
      <c r="K862" s="204"/>
      <c r="L862" s="205"/>
      <c r="M862" s="205"/>
      <c r="N862" s="205"/>
      <c r="O862" s="205"/>
      <c r="P862" s="205"/>
      <c r="Q862" s="205"/>
      <c r="R862" s="205"/>
      <c r="S862" s="205"/>
      <c r="T862" s="205"/>
      <c r="U862" s="205"/>
      <c r="V862" s="205"/>
      <c r="W862" s="205"/>
      <c r="X862" s="205"/>
      <c r="Y862" s="205"/>
      <c r="Z862" s="205"/>
      <c r="AA862" s="205"/>
      <c r="AB862" s="205"/>
      <c r="AC862" s="205"/>
      <c r="AD862" s="205"/>
      <c r="AE862" s="205"/>
      <c r="AF862" s="205"/>
      <c r="AG862" s="205"/>
      <c r="AH862" s="205"/>
      <c r="AI862" s="205"/>
      <c r="AJ862" s="747"/>
    </row>
    <row r="863" spans="1:36" ht="14">
      <c r="A863" s="40"/>
      <c r="B863" s="40"/>
      <c r="C863" s="124"/>
      <c r="D863" s="124"/>
      <c r="E863" s="124"/>
      <c r="F863" s="166"/>
      <c r="G863" s="166"/>
      <c r="H863" s="464"/>
      <c r="I863" s="166" t="s">
        <v>37</v>
      </c>
      <c r="J863" s="460">
        <f>SUM(J831:J855)/2</f>
        <v>71217000</v>
      </c>
      <c r="K863" s="461"/>
      <c r="L863" s="460">
        <f>SUM(L831:L855)/2</f>
        <v>71217000</v>
      </c>
      <c r="M863" s="460">
        <f t="shared" ref="M863:T863" si="954">SUM(M831:M861)/2</f>
        <v>12800000</v>
      </c>
      <c r="N863" s="460">
        <f t="shared" si="954"/>
        <v>0</v>
      </c>
      <c r="O863" s="460">
        <f t="shared" si="954"/>
        <v>1265136</v>
      </c>
      <c r="P863" s="460">
        <f t="shared" si="954"/>
        <v>0</v>
      </c>
      <c r="Q863" s="460">
        <f t="shared" si="954"/>
        <v>0</v>
      </c>
      <c r="R863" s="460">
        <f t="shared" si="954"/>
        <v>0</v>
      </c>
      <c r="S863" s="460">
        <f t="shared" si="954"/>
        <v>14065136</v>
      </c>
      <c r="T863" s="460">
        <f t="shared" si="954"/>
        <v>85282136</v>
      </c>
      <c r="U863" s="460"/>
      <c r="V863" s="460"/>
      <c r="W863" s="460">
        <f t="shared" ref="W863" si="955">SUM(W831:W861)/2</f>
        <v>200000</v>
      </c>
      <c r="X863" s="460"/>
      <c r="Y863" s="460"/>
      <c r="Z863" s="460">
        <f t="shared" ref="Z863:AA863" si="956">SUM(Z831:Z861)/2</f>
        <v>200000</v>
      </c>
      <c r="AA863" s="460">
        <f t="shared" si="956"/>
        <v>85482136</v>
      </c>
      <c r="AB863" s="460"/>
      <c r="AC863" s="460"/>
      <c r="AD863" s="460">
        <f t="shared" ref="AD863" si="957">SUM(AD831:AD861)/2</f>
        <v>0</v>
      </c>
      <c r="AE863" s="460"/>
      <c r="AF863" s="460"/>
      <c r="AG863" s="460">
        <f t="shared" ref="AG863:AH863" si="958">SUM(AG831:AG861)/2</f>
        <v>0</v>
      </c>
      <c r="AH863" s="460">
        <f t="shared" si="958"/>
        <v>85482136</v>
      </c>
      <c r="AI863" s="460">
        <f t="shared" ref="AI863" si="959">SUM(AI831:AI861)/2</f>
        <v>62230605</v>
      </c>
      <c r="AJ863" s="771">
        <f>AI863/AH863*100</f>
        <v>72.799543754966535</v>
      </c>
    </row>
    <row r="864" spans="1:36" ht="15.75" customHeight="1">
      <c r="A864" s="40"/>
      <c r="B864" s="40"/>
      <c r="C864" s="124"/>
      <c r="D864" s="124"/>
      <c r="E864" s="124"/>
      <c r="F864" s="41"/>
      <c r="G864" s="41"/>
      <c r="H864" s="66"/>
      <c r="I864" s="41"/>
      <c r="J864" s="126"/>
      <c r="K864" s="204"/>
      <c r="L864" s="205"/>
      <c r="M864" s="205"/>
      <c r="N864" s="205"/>
      <c r="O864" s="205"/>
      <c r="P864" s="205"/>
      <c r="Q864" s="205"/>
      <c r="R864" s="205"/>
      <c r="S864" s="205"/>
      <c r="T864" s="205"/>
      <c r="U864" s="205"/>
      <c r="V864" s="205"/>
      <c r="W864" s="205"/>
      <c r="X864" s="205"/>
      <c r="Y864" s="205"/>
      <c r="Z864" s="205"/>
      <c r="AA864" s="205"/>
      <c r="AB864" s="205"/>
      <c r="AC864" s="205"/>
      <c r="AD864" s="205"/>
      <c r="AE864" s="205"/>
      <c r="AF864" s="205"/>
      <c r="AG864" s="205"/>
      <c r="AH864" s="205"/>
      <c r="AI864" s="205"/>
      <c r="AJ864" s="747"/>
    </row>
    <row r="865" spans="1:36" ht="15.75" customHeight="1">
      <c r="A865" s="40">
        <v>28</v>
      </c>
      <c r="B865" s="40"/>
      <c r="C865" s="124"/>
      <c r="D865" s="124"/>
      <c r="E865" s="124"/>
      <c r="F865" s="41" t="s">
        <v>131</v>
      </c>
      <c r="G865" s="41"/>
      <c r="H865" s="66"/>
      <c r="I865" s="41"/>
      <c r="J865" s="126"/>
      <c r="K865" s="204"/>
      <c r="L865" s="205"/>
      <c r="M865" s="205"/>
      <c r="N865" s="205"/>
      <c r="O865" s="205"/>
      <c r="P865" s="205"/>
      <c r="Q865" s="205"/>
      <c r="R865" s="205"/>
      <c r="S865" s="205"/>
      <c r="T865" s="205"/>
      <c r="U865" s="205"/>
      <c r="V865" s="205"/>
      <c r="W865" s="205"/>
      <c r="X865" s="205"/>
      <c r="Y865" s="205"/>
      <c r="Z865" s="205"/>
      <c r="AA865" s="205"/>
      <c r="AB865" s="205"/>
      <c r="AC865" s="205"/>
      <c r="AD865" s="205"/>
      <c r="AE865" s="205"/>
      <c r="AF865" s="205"/>
      <c r="AG865" s="205"/>
      <c r="AH865" s="205"/>
      <c r="AI865" s="205"/>
      <c r="AJ865" s="747"/>
    </row>
    <row r="866" spans="1:36" ht="15.75" customHeight="1">
      <c r="A866" s="40"/>
      <c r="B866" s="40"/>
      <c r="C866" s="124">
        <v>1</v>
      </c>
      <c r="D866" s="124"/>
      <c r="E866" s="124"/>
      <c r="F866" s="41"/>
      <c r="G866" s="41"/>
      <c r="H866" s="66" t="s">
        <v>35</v>
      </c>
      <c r="I866" s="125"/>
      <c r="J866" s="126"/>
      <c r="K866" s="204"/>
      <c r="L866" s="205"/>
      <c r="M866" s="205"/>
      <c r="N866" s="205"/>
      <c r="O866" s="205"/>
      <c r="P866" s="205"/>
      <c r="Q866" s="205"/>
      <c r="R866" s="205"/>
      <c r="S866" s="205"/>
      <c r="T866" s="205"/>
      <c r="U866" s="205"/>
      <c r="V866" s="205"/>
      <c r="W866" s="205"/>
      <c r="X866" s="205"/>
      <c r="Y866" s="205"/>
      <c r="Z866" s="205"/>
      <c r="AA866" s="205"/>
      <c r="AB866" s="205"/>
      <c r="AC866" s="205"/>
      <c r="AD866" s="205"/>
      <c r="AE866" s="205"/>
      <c r="AF866" s="205"/>
      <c r="AG866" s="205"/>
      <c r="AH866" s="205"/>
      <c r="AI866" s="205"/>
      <c r="AJ866" s="747"/>
    </row>
    <row r="867" spans="1:36" s="422" customFormat="1" ht="15.75" customHeight="1">
      <c r="A867" s="124"/>
      <c r="B867" s="124"/>
      <c r="C867" s="124"/>
      <c r="D867" s="124">
        <v>5</v>
      </c>
      <c r="E867" s="492" t="s">
        <v>198</v>
      </c>
      <c r="F867" s="493"/>
      <c r="G867" s="66"/>
      <c r="H867" s="66"/>
      <c r="I867" s="66" t="s">
        <v>185</v>
      </c>
      <c r="J867" s="452">
        <v>5000000</v>
      </c>
      <c r="K867" s="453"/>
      <c r="L867" s="217">
        <f>SUM(J867:K867)</f>
        <v>5000000</v>
      </c>
      <c r="M867" s="217"/>
      <c r="N867" s="217"/>
      <c r="O867" s="217"/>
      <c r="P867" s="217"/>
      <c r="Q867" s="217"/>
      <c r="R867" s="217"/>
      <c r="S867" s="217">
        <f t="shared" ref="S867" si="960">SUM(M867:R867)</f>
        <v>0</v>
      </c>
      <c r="T867" s="217">
        <f t="shared" ref="T867" si="961">S867+L867</f>
        <v>5000000</v>
      </c>
      <c r="U867" s="217"/>
      <c r="V867" s="217"/>
      <c r="W867" s="217"/>
      <c r="X867" s="217"/>
      <c r="Y867" s="217"/>
      <c r="Z867" s="217">
        <f>SUM(U867:Y867)</f>
        <v>0</v>
      </c>
      <c r="AA867" s="217">
        <f>Z867+T867</f>
        <v>5000000</v>
      </c>
      <c r="AB867" s="217"/>
      <c r="AC867" s="217"/>
      <c r="AD867" s="217"/>
      <c r="AE867" s="217"/>
      <c r="AF867" s="217"/>
      <c r="AG867" s="217">
        <f t="shared" ref="AG867" si="962">SUM(AB867:AF867)</f>
        <v>0</v>
      </c>
      <c r="AH867" s="217">
        <f t="shared" ref="AH867" si="963">AG867+AA867</f>
        <v>5000000</v>
      </c>
      <c r="AI867" s="217">
        <v>4175000</v>
      </c>
      <c r="AJ867" s="764">
        <f>AI867/AH867*100</f>
        <v>83.5</v>
      </c>
    </row>
    <row r="868" spans="1:36" ht="7" customHeight="1">
      <c r="A868" s="40"/>
      <c r="B868" s="40"/>
      <c r="C868" s="124"/>
      <c r="D868" s="124"/>
      <c r="E868" s="124"/>
      <c r="F868" s="41"/>
      <c r="G868" s="41"/>
      <c r="H868" s="66"/>
      <c r="I868" s="41"/>
      <c r="J868" s="126"/>
      <c r="K868" s="204"/>
      <c r="L868" s="205"/>
      <c r="M868" s="205"/>
      <c r="N868" s="205"/>
      <c r="O868" s="205"/>
      <c r="P868" s="205"/>
      <c r="Q868" s="205"/>
      <c r="R868" s="205"/>
      <c r="S868" s="205"/>
      <c r="T868" s="205"/>
      <c r="U868" s="205"/>
      <c r="V868" s="205"/>
      <c r="W868" s="205"/>
      <c r="X868" s="205"/>
      <c r="Y868" s="205"/>
      <c r="Z868" s="205"/>
      <c r="AA868" s="205"/>
      <c r="AB868" s="205"/>
      <c r="AC868" s="205"/>
      <c r="AD868" s="205"/>
      <c r="AE868" s="205"/>
      <c r="AF868" s="205"/>
      <c r="AG868" s="205"/>
      <c r="AH868" s="205"/>
      <c r="AI868" s="205"/>
      <c r="AJ868" s="747"/>
    </row>
    <row r="869" spans="1:36" ht="15.75" customHeight="1">
      <c r="A869" s="40"/>
      <c r="B869" s="40"/>
      <c r="C869" s="124"/>
      <c r="D869" s="124"/>
      <c r="E869" s="124"/>
      <c r="F869" s="491"/>
      <c r="G869" s="42"/>
      <c r="H869" s="129"/>
      <c r="I869" s="166" t="s">
        <v>37</v>
      </c>
      <c r="J869" s="460">
        <f>SUM(J867:J868)</f>
        <v>5000000</v>
      </c>
      <c r="K869" s="461"/>
      <c r="L869" s="460">
        <f>SUM(L867:L868)</f>
        <v>5000000</v>
      </c>
      <c r="M869" s="460">
        <f t="shared" ref="M869:T869" si="964">SUM(M867:M868)</f>
        <v>0</v>
      </c>
      <c r="N869" s="460">
        <f t="shared" si="964"/>
        <v>0</v>
      </c>
      <c r="O869" s="460">
        <f t="shared" si="964"/>
        <v>0</v>
      </c>
      <c r="P869" s="460">
        <f t="shared" si="964"/>
        <v>0</v>
      </c>
      <c r="Q869" s="460">
        <f t="shared" si="964"/>
        <v>0</v>
      </c>
      <c r="R869" s="460">
        <f t="shared" si="964"/>
        <v>0</v>
      </c>
      <c r="S869" s="460">
        <f t="shared" si="964"/>
        <v>0</v>
      </c>
      <c r="T869" s="460">
        <f t="shared" si="964"/>
        <v>5000000</v>
      </c>
      <c r="U869" s="460"/>
      <c r="V869" s="460"/>
      <c r="W869" s="460"/>
      <c r="X869" s="460"/>
      <c r="Y869" s="460"/>
      <c r="Z869" s="460">
        <f t="shared" ref="Z869:AA869" si="965">SUM(Z867:Z868)</f>
        <v>0</v>
      </c>
      <c r="AA869" s="460">
        <f t="shared" si="965"/>
        <v>5000000</v>
      </c>
      <c r="AB869" s="460"/>
      <c r="AC869" s="460"/>
      <c r="AD869" s="460"/>
      <c r="AE869" s="460"/>
      <c r="AF869" s="460"/>
      <c r="AG869" s="460">
        <f t="shared" ref="AG869:AI869" si="966">SUM(AG867:AG868)</f>
        <v>0</v>
      </c>
      <c r="AH869" s="460">
        <f t="shared" si="966"/>
        <v>5000000</v>
      </c>
      <c r="AI869" s="460">
        <f t="shared" si="966"/>
        <v>4175000</v>
      </c>
      <c r="AJ869" s="771">
        <f>AI869/AH869*100</f>
        <v>83.5</v>
      </c>
    </row>
    <row r="870" spans="1:36" ht="14">
      <c r="A870" s="40"/>
      <c r="B870" s="40"/>
      <c r="C870" s="124"/>
      <c r="D870" s="124"/>
      <c r="E870" s="124"/>
      <c r="F870" s="41"/>
      <c r="G870" s="41"/>
      <c r="H870" s="66"/>
      <c r="I870" s="41"/>
      <c r="J870" s="126"/>
      <c r="K870" s="204"/>
      <c r="L870" s="205"/>
      <c r="M870" s="205"/>
      <c r="N870" s="205"/>
      <c r="O870" s="205"/>
      <c r="P870" s="205"/>
      <c r="Q870" s="205"/>
      <c r="R870" s="205"/>
      <c r="S870" s="205"/>
      <c r="T870" s="205"/>
      <c r="U870" s="205"/>
      <c r="V870" s="205"/>
      <c r="W870" s="205"/>
      <c r="X870" s="205"/>
      <c r="Y870" s="205"/>
      <c r="Z870" s="205"/>
      <c r="AA870" s="205"/>
      <c r="AB870" s="205"/>
      <c r="AC870" s="205"/>
      <c r="AD870" s="205"/>
      <c r="AE870" s="205"/>
      <c r="AF870" s="205"/>
      <c r="AG870" s="205"/>
      <c r="AH870" s="205"/>
      <c r="AI870" s="205"/>
      <c r="AJ870" s="747"/>
    </row>
    <row r="871" spans="1:36" ht="15.75" customHeight="1">
      <c r="A871" s="40">
        <v>29</v>
      </c>
      <c r="B871" s="40"/>
      <c r="C871" s="124"/>
      <c r="D871" s="124"/>
      <c r="E871" s="124"/>
      <c r="F871" s="41" t="s">
        <v>93</v>
      </c>
      <c r="G871" s="41"/>
      <c r="H871" s="66"/>
      <c r="I871" s="41"/>
      <c r="J871" s="126"/>
      <c r="K871" s="204"/>
      <c r="L871" s="205"/>
      <c r="M871" s="205"/>
      <c r="N871" s="205"/>
      <c r="O871" s="205"/>
      <c r="P871" s="205"/>
      <c r="Q871" s="205"/>
      <c r="R871" s="205"/>
      <c r="S871" s="205"/>
      <c r="T871" s="205"/>
      <c r="U871" s="205"/>
      <c r="V871" s="205"/>
      <c r="W871" s="205"/>
      <c r="X871" s="205"/>
      <c r="Y871" s="205"/>
      <c r="Z871" s="205"/>
      <c r="AA871" s="205"/>
      <c r="AB871" s="205"/>
      <c r="AC871" s="205"/>
      <c r="AD871" s="205"/>
      <c r="AE871" s="205"/>
      <c r="AF871" s="205"/>
      <c r="AG871" s="205"/>
      <c r="AH871" s="205"/>
      <c r="AI871" s="205"/>
      <c r="AJ871" s="747"/>
    </row>
    <row r="872" spans="1:36" ht="15.75" customHeight="1">
      <c r="A872" s="40"/>
      <c r="B872" s="40"/>
      <c r="C872" s="124">
        <v>1</v>
      </c>
      <c r="D872" s="124"/>
      <c r="E872" s="124"/>
      <c r="F872" s="41"/>
      <c r="G872" s="41"/>
      <c r="H872" s="66" t="s">
        <v>35</v>
      </c>
      <c r="I872" s="41"/>
      <c r="J872" s="126"/>
      <c r="K872" s="204"/>
      <c r="L872" s="205"/>
      <c r="M872" s="205"/>
      <c r="N872" s="205"/>
      <c r="O872" s="205"/>
      <c r="P872" s="205"/>
      <c r="Q872" s="205"/>
      <c r="R872" s="205"/>
      <c r="S872" s="205"/>
      <c r="T872" s="205"/>
      <c r="U872" s="205"/>
      <c r="V872" s="205"/>
      <c r="W872" s="205"/>
      <c r="X872" s="205"/>
      <c r="Y872" s="205"/>
      <c r="Z872" s="205"/>
      <c r="AA872" s="205"/>
      <c r="AB872" s="205"/>
      <c r="AC872" s="205"/>
      <c r="AD872" s="205"/>
      <c r="AE872" s="205"/>
      <c r="AF872" s="205"/>
      <c r="AG872" s="205"/>
      <c r="AH872" s="205"/>
      <c r="AI872" s="205"/>
      <c r="AJ872" s="747"/>
    </row>
    <row r="873" spans="1:36" ht="15.75" customHeight="1">
      <c r="A873" s="40"/>
      <c r="B873" s="40"/>
      <c r="C873" s="124"/>
      <c r="D873" s="124">
        <v>3</v>
      </c>
      <c r="E873" s="124" t="s">
        <v>199</v>
      </c>
      <c r="F873" s="41"/>
      <c r="G873" s="41"/>
      <c r="H873" s="66"/>
      <c r="I873" s="66" t="s">
        <v>116</v>
      </c>
      <c r="J873" s="128">
        <v>3568000</v>
      </c>
      <c r="K873" s="208"/>
      <c r="L873" s="217">
        <f>SUM(J873:K873)</f>
        <v>3568000</v>
      </c>
      <c r="M873" s="217"/>
      <c r="N873" s="217"/>
      <c r="O873" s="217"/>
      <c r="P873" s="217"/>
      <c r="Q873" s="217"/>
      <c r="R873" s="217"/>
      <c r="S873" s="217">
        <f t="shared" ref="S873" si="967">SUM(M873:R873)</f>
        <v>0</v>
      </c>
      <c r="T873" s="217">
        <f t="shared" ref="T873" si="968">S873+L873</f>
        <v>3568000</v>
      </c>
      <c r="U873" s="217"/>
      <c r="V873" s="217"/>
      <c r="W873" s="217"/>
      <c r="X873" s="217"/>
      <c r="Y873" s="217"/>
      <c r="Z873" s="217">
        <f>SUM(U873:Y873)</f>
        <v>0</v>
      </c>
      <c r="AA873" s="217">
        <f>Z873+T873</f>
        <v>3568000</v>
      </c>
      <c r="AB873" s="217"/>
      <c r="AC873" s="217"/>
      <c r="AD873" s="217"/>
      <c r="AE873" s="217"/>
      <c r="AF873" s="217"/>
      <c r="AG873" s="217">
        <f t="shared" ref="AG873" si="969">SUM(AB873:AF873)</f>
        <v>0</v>
      </c>
      <c r="AH873" s="217">
        <f t="shared" ref="AH873" si="970">AG873+AA873</f>
        <v>3568000</v>
      </c>
      <c r="AI873" s="217">
        <v>3270649</v>
      </c>
      <c r="AJ873" s="764">
        <f>AI873/AH873*100</f>
        <v>91.666171524663682</v>
      </c>
    </row>
    <row r="874" spans="1:36" ht="5" customHeight="1">
      <c r="A874" s="40"/>
      <c r="B874" s="40"/>
      <c r="C874" s="124"/>
      <c r="D874" s="124"/>
      <c r="E874" s="124"/>
      <c r="F874" s="41"/>
      <c r="G874" s="41"/>
      <c r="H874" s="66"/>
      <c r="I874" s="41"/>
      <c r="J874" s="126"/>
      <c r="K874" s="204"/>
      <c r="L874" s="205"/>
      <c r="M874" s="205"/>
      <c r="N874" s="205"/>
      <c r="O874" s="205"/>
      <c r="P874" s="205"/>
      <c r="Q874" s="205"/>
      <c r="R874" s="205"/>
      <c r="S874" s="205"/>
      <c r="T874" s="205"/>
      <c r="U874" s="205"/>
      <c r="V874" s="205"/>
      <c r="W874" s="205"/>
      <c r="X874" s="205"/>
      <c r="Y874" s="205"/>
      <c r="Z874" s="205"/>
      <c r="AA874" s="205"/>
      <c r="AB874" s="205"/>
      <c r="AC874" s="205"/>
      <c r="AD874" s="205"/>
      <c r="AE874" s="205"/>
      <c r="AF874" s="205"/>
      <c r="AG874" s="205"/>
      <c r="AH874" s="205"/>
      <c r="AI874" s="205"/>
      <c r="AJ874" s="747"/>
    </row>
    <row r="875" spans="1:36" ht="15.75" customHeight="1">
      <c r="A875" s="40"/>
      <c r="B875" s="40"/>
      <c r="C875" s="124"/>
      <c r="D875" s="124"/>
      <c r="E875" s="124"/>
      <c r="F875" s="491"/>
      <c r="G875" s="42"/>
      <c r="H875" s="129"/>
      <c r="I875" s="166" t="s">
        <v>37</v>
      </c>
      <c r="J875" s="460">
        <f>SUM(J873:J874)</f>
        <v>3568000</v>
      </c>
      <c r="K875" s="461"/>
      <c r="L875" s="460">
        <f>SUM(L873:L874)</f>
        <v>3568000</v>
      </c>
      <c r="M875" s="460">
        <f t="shared" ref="M875:T875" si="971">SUM(M873:M874)</f>
        <v>0</v>
      </c>
      <c r="N875" s="460">
        <f t="shared" si="971"/>
        <v>0</v>
      </c>
      <c r="O875" s="460">
        <f t="shared" si="971"/>
        <v>0</v>
      </c>
      <c r="P875" s="460">
        <f t="shared" si="971"/>
        <v>0</v>
      </c>
      <c r="Q875" s="460">
        <f t="shared" si="971"/>
        <v>0</v>
      </c>
      <c r="R875" s="460">
        <f t="shared" si="971"/>
        <v>0</v>
      </c>
      <c r="S875" s="460">
        <f t="shared" si="971"/>
        <v>0</v>
      </c>
      <c r="T875" s="460">
        <f t="shared" si="971"/>
        <v>3568000</v>
      </c>
      <c r="U875" s="460"/>
      <c r="V875" s="460"/>
      <c r="W875" s="460"/>
      <c r="X875" s="460"/>
      <c r="Y875" s="460"/>
      <c r="Z875" s="460">
        <f t="shared" ref="Z875:AA875" si="972">SUM(Z873:Z874)</f>
        <v>0</v>
      </c>
      <c r="AA875" s="460">
        <f t="shared" si="972"/>
        <v>3568000</v>
      </c>
      <c r="AB875" s="460"/>
      <c r="AC875" s="460"/>
      <c r="AD875" s="460"/>
      <c r="AE875" s="460"/>
      <c r="AF875" s="460"/>
      <c r="AG875" s="460">
        <f t="shared" ref="AG875:AI875" si="973">SUM(AG873:AG874)</f>
        <v>0</v>
      </c>
      <c r="AH875" s="460">
        <f t="shared" si="973"/>
        <v>3568000</v>
      </c>
      <c r="AI875" s="460">
        <f t="shared" si="973"/>
        <v>3270649</v>
      </c>
      <c r="AJ875" s="771">
        <f>AI875/AH875*100</f>
        <v>91.666171524663682</v>
      </c>
    </row>
    <row r="876" spans="1:36" ht="7" customHeight="1">
      <c r="A876" s="40"/>
      <c r="B876" s="40"/>
      <c r="C876" s="124"/>
      <c r="D876" s="124"/>
      <c r="E876" s="124"/>
      <c r="F876" s="41"/>
      <c r="G876" s="41"/>
      <c r="H876" s="66"/>
      <c r="I876" s="41"/>
      <c r="J876" s="126"/>
      <c r="K876" s="204"/>
      <c r="L876" s="205"/>
      <c r="M876" s="205"/>
      <c r="N876" s="205"/>
      <c r="O876" s="205"/>
      <c r="P876" s="205"/>
      <c r="Q876" s="205"/>
      <c r="R876" s="205"/>
      <c r="S876" s="205"/>
      <c r="T876" s="205"/>
      <c r="U876" s="205"/>
      <c r="V876" s="205"/>
      <c r="W876" s="205"/>
      <c r="X876" s="205"/>
      <c r="Y876" s="205"/>
      <c r="Z876" s="205"/>
      <c r="AA876" s="205"/>
      <c r="AB876" s="205"/>
      <c r="AC876" s="205"/>
      <c r="AD876" s="205"/>
      <c r="AE876" s="205"/>
      <c r="AF876" s="205"/>
      <c r="AG876" s="205"/>
      <c r="AH876" s="205"/>
      <c r="AI876" s="205"/>
      <c r="AJ876" s="747"/>
    </row>
    <row r="877" spans="1:36" ht="15.75" customHeight="1">
      <c r="A877" s="40">
        <v>30</v>
      </c>
      <c r="B877" s="40"/>
      <c r="C877" s="124"/>
      <c r="D877" s="124"/>
      <c r="E877" s="124"/>
      <c r="F877" s="41" t="s">
        <v>249</v>
      </c>
      <c r="G877" s="41"/>
      <c r="H877" s="66"/>
      <c r="I877" s="66"/>
      <c r="J877" s="126"/>
      <c r="K877" s="204"/>
      <c r="L877" s="205"/>
      <c r="M877" s="205"/>
      <c r="N877" s="205"/>
      <c r="O877" s="205"/>
      <c r="P877" s="205"/>
      <c r="Q877" s="205"/>
      <c r="R877" s="205"/>
      <c r="S877" s="205"/>
      <c r="T877" s="205"/>
      <c r="U877" s="205"/>
      <c r="V877" s="205"/>
      <c r="W877" s="205"/>
      <c r="X877" s="205"/>
      <c r="Y877" s="205"/>
      <c r="Z877" s="205"/>
      <c r="AA877" s="205"/>
      <c r="AB877" s="205"/>
      <c r="AC877" s="205"/>
      <c r="AD877" s="205"/>
      <c r="AE877" s="205"/>
      <c r="AF877" s="205"/>
      <c r="AG877" s="205"/>
      <c r="AH877" s="205"/>
      <c r="AI877" s="205"/>
      <c r="AJ877" s="747"/>
    </row>
    <row r="878" spans="1:36" ht="15.75" customHeight="1">
      <c r="A878" s="40"/>
      <c r="B878" s="40"/>
      <c r="C878" s="124">
        <v>1</v>
      </c>
      <c r="D878" s="124"/>
      <c r="E878" s="124"/>
      <c r="F878" s="41"/>
      <c r="G878" s="41"/>
      <c r="H878" s="66" t="s">
        <v>35</v>
      </c>
      <c r="I878" s="125"/>
      <c r="J878" s="128"/>
      <c r="K878" s="208"/>
      <c r="L878" s="217"/>
      <c r="M878" s="217"/>
      <c r="N878" s="217"/>
      <c r="O878" s="217"/>
      <c r="P878" s="217"/>
      <c r="Q878" s="217"/>
      <c r="R878" s="217"/>
      <c r="S878" s="217"/>
      <c r="T878" s="217"/>
      <c r="U878" s="217"/>
      <c r="V878" s="217"/>
      <c r="W878" s="217"/>
      <c r="X878" s="217"/>
      <c r="Y878" s="217"/>
      <c r="Z878" s="217"/>
      <c r="AA878" s="217"/>
      <c r="AB878" s="217"/>
      <c r="AC878" s="217"/>
      <c r="AD878" s="217"/>
      <c r="AE878" s="217"/>
      <c r="AF878" s="217"/>
      <c r="AG878" s="217"/>
      <c r="AH878" s="217"/>
      <c r="AI878" s="217"/>
      <c r="AJ878" s="764"/>
    </row>
    <row r="879" spans="1:36" ht="15.75" customHeight="1">
      <c r="A879" s="40"/>
      <c r="B879" s="40"/>
      <c r="C879" s="124"/>
      <c r="D879" s="124">
        <v>5</v>
      </c>
      <c r="E879" s="124" t="s">
        <v>198</v>
      </c>
      <c r="F879" s="451"/>
      <c r="G879" s="41"/>
      <c r="H879" s="66"/>
      <c r="I879" s="66" t="s">
        <v>185</v>
      </c>
      <c r="J879" s="128">
        <v>5500000</v>
      </c>
      <c r="K879" s="208"/>
      <c r="L879" s="217">
        <f>SUM(J879:K879)</f>
        <v>5500000</v>
      </c>
      <c r="M879" s="217"/>
      <c r="N879" s="217"/>
      <c r="O879" s="217"/>
      <c r="P879" s="217"/>
      <c r="Q879" s="217"/>
      <c r="R879" s="217"/>
      <c r="S879" s="217">
        <f t="shared" ref="S879" si="974">SUM(M879:R879)</f>
        <v>0</v>
      </c>
      <c r="T879" s="217">
        <f t="shared" ref="T879" si="975">S879+L879</f>
        <v>5500000</v>
      </c>
      <c r="U879" s="217"/>
      <c r="V879" s="217"/>
      <c r="W879" s="217"/>
      <c r="X879" s="217"/>
      <c r="Y879" s="217"/>
      <c r="Z879" s="217">
        <f>SUM(U879:Y879)</f>
        <v>0</v>
      </c>
      <c r="AA879" s="217">
        <f>Z879+T879</f>
        <v>5500000</v>
      </c>
      <c r="AB879" s="217"/>
      <c r="AC879" s="217"/>
      <c r="AD879" s="217"/>
      <c r="AE879" s="217"/>
      <c r="AF879" s="217"/>
      <c r="AG879" s="217">
        <f t="shared" ref="AG879" si="976">SUM(AB879:AF879)</f>
        <v>0</v>
      </c>
      <c r="AH879" s="217">
        <f t="shared" ref="AH879" si="977">AG879+AA879</f>
        <v>5500000</v>
      </c>
      <c r="AI879" s="217">
        <v>5500000</v>
      </c>
      <c r="AJ879" s="764">
        <f>AI879/AH879*100</f>
        <v>100</v>
      </c>
    </row>
    <row r="880" spans="1:36" ht="14">
      <c r="A880" s="40"/>
      <c r="B880" s="40"/>
      <c r="C880" s="124"/>
      <c r="D880" s="124"/>
      <c r="E880" s="124"/>
      <c r="F880" s="41"/>
      <c r="G880" s="41"/>
      <c r="H880" s="66"/>
      <c r="I880" s="66"/>
      <c r="J880" s="126"/>
      <c r="K880" s="204"/>
      <c r="L880" s="205"/>
      <c r="M880" s="205"/>
      <c r="N880" s="205"/>
      <c r="O880" s="205"/>
      <c r="P880" s="205"/>
      <c r="Q880" s="205"/>
      <c r="R880" s="205"/>
      <c r="S880" s="205"/>
      <c r="T880" s="205"/>
      <c r="U880" s="205"/>
      <c r="V880" s="205"/>
      <c r="W880" s="205"/>
      <c r="X880" s="205"/>
      <c r="Y880" s="205"/>
      <c r="Z880" s="205"/>
      <c r="AA880" s="205"/>
      <c r="AB880" s="205"/>
      <c r="AC880" s="205"/>
      <c r="AD880" s="205"/>
      <c r="AE880" s="205"/>
      <c r="AF880" s="205"/>
      <c r="AG880" s="205"/>
      <c r="AH880" s="205"/>
      <c r="AI880" s="205"/>
      <c r="AJ880" s="747"/>
    </row>
    <row r="881" spans="1:36" ht="15.75" customHeight="1">
      <c r="A881" s="40"/>
      <c r="B881" s="40"/>
      <c r="C881" s="124"/>
      <c r="D881" s="124"/>
      <c r="E881" s="124"/>
      <c r="F881" s="491"/>
      <c r="G881" s="42"/>
      <c r="H881" s="129"/>
      <c r="I881" s="166" t="s">
        <v>37</v>
      </c>
      <c r="J881" s="460">
        <f>SUM(J877:J880)</f>
        <v>5500000</v>
      </c>
      <c r="K881" s="461"/>
      <c r="L881" s="460">
        <f>SUM(L877:L880)</f>
        <v>5500000</v>
      </c>
      <c r="M881" s="460">
        <f t="shared" ref="M881:T881" si="978">SUM(M877:M880)</f>
        <v>0</v>
      </c>
      <c r="N881" s="460">
        <f t="shared" si="978"/>
        <v>0</v>
      </c>
      <c r="O881" s="460">
        <f t="shared" si="978"/>
        <v>0</v>
      </c>
      <c r="P881" s="460">
        <f t="shared" si="978"/>
        <v>0</v>
      </c>
      <c r="Q881" s="460">
        <f t="shared" si="978"/>
        <v>0</v>
      </c>
      <c r="R881" s="460">
        <f t="shared" si="978"/>
        <v>0</v>
      </c>
      <c r="S881" s="460">
        <f t="shared" si="978"/>
        <v>0</v>
      </c>
      <c r="T881" s="460">
        <f t="shared" si="978"/>
        <v>5500000</v>
      </c>
      <c r="U881" s="460"/>
      <c r="V881" s="460"/>
      <c r="W881" s="460"/>
      <c r="X881" s="460"/>
      <c r="Y881" s="460"/>
      <c r="Z881" s="460">
        <f t="shared" ref="Z881:AA881" si="979">SUM(Z877:Z880)</f>
        <v>0</v>
      </c>
      <c r="AA881" s="460">
        <f t="shared" si="979"/>
        <v>5500000</v>
      </c>
      <c r="AB881" s="460"/>
      <c r="AC881" s="460"/>
      <c r="AD881" s="460"/>
      <c r="AE881" s="460"/>
      <c r="AF881" s="460"/>
      <c r="AG881" s="460">
        <f t="shared" ref="AG881:AI881" si="980">SUM(AG877:AG880)</f>
        <v>0</v>
      </c>
      <c r="AH881" s="460">
        <f t="shared" si="980"/>
        <v>5500000</v>
      </c>
      <c r="AI881" s="460">
        <f t="shared" si="980"/>
        <v>5500000</v>
      </c>
      <c r="AJ881" s="771">
        <f>AI881/AH881*100</f>
        <v>100</v>
      </c>
    </row>
    <row r="882" spans="1:36" ht="14">
      <c r="A882" s="40"/>
      <c r="B882" s="40"/>
      <c r="C882" s="124"/>
      <c r="D882" s="124"/>
      <c r="E882" s="124"/>
      <c r="F882" s="41"/>
      <c r="G882" s="41"/>
      <c r="H882" s="66"/>
      <c r="I882" s="41"/>
      <c r="J882" s="126"/>
      <c r="K882" s="204"/>
      <c r="L882" s="205"/>
      <c r="M882" s="205"/>
      <c r="N882" s="205"/>
      <c r="O882" s="205"/>
      <c r="P882" s="205"/>
      <c r="Q882" s="205"/>
      <c r="R882" s="205"/>
      <c r="S882" s="205"/>
      <c r="T882" s="205"/>
      <c r="U882" s="205"/>
      <c r="V882" s="205"/>
      <c r="W882" s="205"/>
      <c r="X882" s="205"/>
      <c r="Y882" s="205"/>
      <c r="Z882" s="205"/>
      <c r="AA882" s="205"/>
      <c r="AB882" s="205"/>
      <c r="AC882" s="205"/>
      <c r="AD882" s="205"/>
      <c r="AE882" s="205"/>
      <c r="AF882" s="205"/>
      <c r="AG882" s="205"/>
      <c r="AH882" s="205"/>
      <c r="AI882" s="205"/>
      <c r="AJ882" s="747"/>
    </row>
    <row r="883" spans="1:36" ht="29.25" customHeight="1">
      <c r="A883" s="40">
        <v>31</v>
      </c>
      <c r="B883" s="40"/>
      <c r="C883" s="124"/>
      <c r="D883" s="124"/>
      <c r="E883" s="124"/>
      <c r="F883" s="942" t="s">
        <v>248</v>
      </c>
      <c r="G883" s="935"/>
      <c r="H883" s="935"/>
      <c r="I883" s="936"/>
      <c r="J883" s="126"/>
      <c r="K883" s="204"/>
      <c r="L883" s="205"/>
      <c r="M883" s="205"/>
      <c r="N883" s="205"/>
      <c r="O883" s="205"/>
      <c r="P883" s="205"/>
      <c r="Q883" s="205"/>
      <c r="R883" s="205"/>
      <c r="S883" s="205"/>
      <c r="T883" s="205"/>
      <c r="U883" s="205"/>
      <c r="V883" s="205"/>
      <c r="W883" s="205"/>
      <c r="X883" s="205"/>
      <c r="Y883" s="205"/>
      <c r="Z883" s="205"/>
      <c r="AA883" s="205"/>
      <c r="AB883" s="205"/>
      <c r="AC883" s="205"/>
      <c r="AD883" s="205"/>
      <c r="AE883" s="205"/>
      <c r="AF883" s="205"/>
      <c r="AG883" s="205"/>
      <c r="AH883" s="205"/>
      <c r="AI883" s="205"/>
      <c r="AJ883" s="747"/>
    </row>
    <row r="884" spans="1:36" ht="13.5" customHeight="1">
      <c r="A884" s="40"/>
      <c r="B884" s="40"/>
      <c r="C884" s="124">
        <v>1</v>
      </c>
      <c r="D884" s="124"/>
      <c r="E884" s="124"/>
      <c r="F884" s="41"/>
      <c r="G884" s="41"/>
      <c r="H884" s="66" t="s">
        <v>35</v>
      </c>
      <c r="I884" s="125"/>
      <c r="J884" s="128"/>
      <c r="K884" s="208"/>
      <c r="L884" s="217"/>
      <c r="M884" s="217"/>
      <c r="N884" s="217"/>
      <c r="O884" s="217"/>
      <c r="P884" s="217"/>
      <c r="Q884" s="217"/>
      <c r="R884" s="217"/>
      <c r="S884" s="217"/>
      <c r="T884" s="217"/>
      <c r="U884" s="217"/>
      <c r="V884" s="217"/>
      <c r="W884" s="217"/>
      <c r="X884" s="217"/>
      <c r="Y884" s="217"/>
      <c r="Z884" s="217"/>
      <c r="AA884" s="217"/>
      <c r="AB884" s="217"/>
      <c r="AC884" s="217"/>
      <c r="AD884" s="217"/>
      <c r="AE884" s="217"/>
      <c r="AF884" s="217"/>
      <c r="AG884" s="217"/>
      <c r="AH884" s="217"/>
      <c r="AI884" s="217"/>
      <c r="AJ884" s="764"/>
    </row>
    <row r="885" spans="1:36" ht="13.5" customHeight="1">
      <c r="A885" s="40"/>
      <c r="B885" s="40"/>
      <c r="C885" s="124"/>
      <c r="D885" s="124">
        <v>5</v>
      </c>
      <c r="E885" s="124" t="s">
        <v>199</v>
      </c>
      <c r="F885" s="451"/>
      <c r="G885" s="41"/>
      <c r="H885" s="66"/>
      <c r="I885" s="66" t="s">
        <v>185</v>
      </c>
      <c r="J885" s="128">
        <v>3500000</v>
      </c>
      <c r="K885" s="208"/>
      <c r="L885" s="217">
        <f>SUM(J885:K885)</f>
        <v>3500000</v>
      </c>
      <c r="M885" s="217"/>
      <c r="N885" s="217"/>
      <c r="O885" s="217"/>
      <c r="P885" s="217"/>
      <c r="Q885" s="217"/>
      <c r="R885" s="217"/>
      <c r="S885" s="217">
        <f t="shared" ref="S885" si="981">SUM(M885:R885)</f>
        <v>0</v>
      </c>
      <c r="T885" s="217">
        <f t="shared" ref="T885" si="982">S885+L885</f>
        <v>3500000</v>
      </c>
      <c r="U885" s="217"/>
      <c r="V885" s="217"/>
      <c r="W885" s="217"/>
      <c r="X885" s="217"/>
      <c r="Y885" s="217"/>
      <c r="Z885" s="217">
        <f>SUM(U885:Y885)</f>
        <v>0</v>
      </c>
      <c r="AA885" s="217">
        <f>Z885+T885</f>
        <v>3500000</v>
      </c>
      <c r="AB885" s="217"/>
      <c r="AC885" s="217"/>
      <c r="AD885" s="217"/>
      <c r="AE885" s="217"/>
      <c r="AF885" s="217"/>
      <c r="AG885" s="217">
        <f t="shared" ref="AG885" si="983">SUM(AB885:AF885)</f>
        <v>0</v>
      </c>
      <c r="AH885" s="217">
        <f t="shared" ref="AH885" si="984">AG885+AA885</f>
        <v>3500000</v>
      </c>
      <c r="AI885" s="217">
        <v>3500000</v>
      </c>
      <c r="AJ885" s="764">
        <f>AI885/AH885*100</f>
        <v>100</v>
      </c>
    </row>
    <row r="886" spans="1:36" ht="13.5" customHeight="1">
      <c r="A886" s="40"/>
      <c r="B886" s="40"/>
      <c r="C886" s="124"/>
      <c r="D886" s="124"/>
      <c r="E886" s="124"/>
      <c r="F886" s="41"/>
      <c r="G886" s="41"/>
      <c r="H886" s="66"/>
      <c r="I886" s="66"/>
      <c r="J886" s="126"/>
      <c r="K886" s="204"/>
      <c r="L886" s="205"/>
      <c r="M886" s="205"/>
      <c r="N886" s="205"/>
      <c r="O886" s="205"/>
      <c r="P886" s="205"/>
      <c r="Q886" s="205"/>
      <c r="R886" s="205"/>
      <c r="S886" s="205"/>
      <c r="T886" s="205"/>
      <c r="U886" s="205"/>
      <c r="V886" s="205"/>
      <c r="W886" s="205"/>
      <c r="X886" s="205"/>
      <c r="Y886" s="205"/>
      <c r="Z886" s="205"/>
      <c r="AA886" s="205"/>
      <c r="AB886" s="205"/>
      <c r="AC886" s="205"/>
      <c r="AD886" s="205"/>
      <c r="AE886" s="205"/>
      <c r="AF886" s="205"/>
      <c r="AG886" s="205"/>
      <c r="AH886" s="205"/>
      <c r="AI886" s="205"/>
      <c r="AJ886" s="747"/>
    </row>
    <row r="887" spans="1:36" ht="13.5" customHeight="1">
      <c r="A887" s="40"/>
      <c r="B887" s="40"/>
      <c r="C887" s="124"/>
      <c r="D887" s="124"/>
      <c r="E887" s="124"/>
      <c r="F887" s="491"/>
      <c r="G887" s="42"/>
      <c r="H887" s="129"/>
      <c r="I887" s="166" t="s">
        <v>37</v>
      </c>
      <c r="J887" s="460">
        <f>SUM(J883:J886)</f>
        <v>3500000</v>
      </c>
      <c r="K887" s="461"/>
      <c r="L887" s="460">
        <f>SUM(L883:L886)</f>
        <v>3500000</v>
      </c>
      <c r="M887" s="460">
        <f t="shared" ref="M887:T887" si="985">SUM(M883:M886)</f>
        <v>0</v>
      </c>
      <c r="N887" s="460">
        <f t="shared" si="985"/>
        <v>0</v>
      </c>
      <c r="O887" s="460">
        <f t="shared" si="985"/>
        <v>0</v>
      </c>
      <c r="P887" s="460">
        <f t="shared" si="985"/>
        <v>0</v>
      </c>
      <c r="Q887" s="460">
        <f t="shared" si="985"/>
        <v>0</v>
      </c>
      <c r="R887" s="460">
        <f t="shared" si="985"/>
        <v>0</v>
      </c>
      <c r="S887" s="460">
        <f t="shared" si="985"/>
        <v>0</v>
      </c>
      <c r="T887" s="460">
        <f t="shared" si="985"/>
        <v>3500000</v>
      </c>
      <c r="U887" s="460"/>
      <c r="V887" s="460"/>
      <c r="W887" s="460"/>
      <c r="X887" s="460"/>
      <c r="Y887" s="460"/>
      <c r="Z887" s="460">
        <f t="shared" ref="Z887:AA887" si="986">SUM(Z883:Z886)</f>
        <v>0</v>
      </c>
      <c r="AA887" s="460">
        <f t="shared" si="986"/>
        <v>3500000</v>
      </c>
      <c r="AB887" s="460"/>
      <c r="AC887" s="460"/>
      <c r="AD887" s="460"/>
      <c r="AE887" s="460"/>
      <c r="AF887" s="460"/>
      <c r="AG887" s="460">
        <f t="shared" ref="AG887:AI887" si="987">SUM(AG883:AG886)</f>
        <v>0</v>
      </c>
      <c r="AH887" s="460">
        <f t="shared" si="987"/>
        <v>3500000</v>
      </c>
      <c r="AI887" s="460">
        <f t="shared" si="987"/>
        <v>3500000</v>
      </c>
      <c r="AJ887" s="771">
        <f>AI887/AH887*100</f>
        <v>100</v>
      </c>
    </row>
    <row r="888" spans="1:36" ht="13.5" customHeight="1">
      <c r="A888" s="40"/>
      <c r="B888" s="40"/>
      <c r="C888" s="124"/>
      <c r="D888" s="124"/>
      <c r="E888" s="124"/>
      <c r="F888" s="41"/>
      <c r="G888" s="41"/>
      <c r="H888" s="66"/>
      <c r="I888" s="41"/>
      <c r="J888" s="126"/>
      <c r="K888" s="204"/>
      <c r="L888" s="205"/>
      <c r="M888" s="205"/>
      <c r="N888" s="205"/>
      <c r="O888" s="205"/>
      <c r="P888" s="205"/>
      <c r="Q888" s="205"/>
      <c r="R888" s="205"/>
      <c r="S888" s="205"/>
      <c r="T888" s="205"/>
      <c r="U888" s="205"/>
      <c r="V888" s="205"/>
      <c r="W888" s="205"/>
      <c r="X888" s="205"/>
      <c r="Y888" s="205"/>
      <c r="Z888" s="205"/>
      <c r="AA888" s="205"/>
      <c r="AB888" s="205"/>
      <c r="AC888" s="205"/>
      <c r="AD888" s="205"/>
      <c r="AE888" s="205"/>
      <c r="AF888" s="205"/>
      <c r="AG888" s="205"/>
      <c r="AH888" s="205"/>
      <c r="AI888" s="205"/>
      <c r="AJ888" s="747"/>
    </row>
    <row r="889" spans="1:36" ht="13.5" customHeight="1">
      <c r="A889" s="40">
        <v>32</v>
      </c>
      <c r="B889" s="40"/>
      <c r="C889" s="124"/>
      <c r="D889" s="124"/>
      <c r="E889" s="124"/>
      <c r="F889" s="41" t="s">
        <v>84</v>
      </c>
      <c r="G889" s="41"/>
      <c r="H889" s="66"/>
      <c r="I889" s="66"/>
      <c r="J889" s="126"/>
      <c r="K889" s="204"/>
      <c r="L889" s="205"/>
      <c r="M889" s="205"/>
      <c r="N889" s="205"/>
      <c r="O889" s="205"/>
      <c r="P889" s="205"/>
      <c r="Q889" s="205"/>
      <c r="R889" s="205"/>
      <c r="S889" s="205"/>
      <c r="T889" s="205"/>
      <c r="U889" s="205"/>
      <c r="V889" s="205"/>
      <c r="W889" s="205"/>
      <c r="X889" s="205"/>
      <c r="Y889" s="205"/>
      <c r="Z889" s="205"/>
      <c r="AA889" s="205"/>
      <c r="AB889" s="205"/>
      <c r="AC889" s="205"/>
      <c r="AD889" s="205"/>
      <c r="AE889" s="205"/>
      <c r="AF889" s="205"/>
      <c r="AG889" s="205"/>
      <c r="AH889" s="205"/>
      <c r="AI889" s="205"/>
      <c r="AJ889" s="747"/>
    </row>
    <row r="890" spans="1:36" ht="13.5" customHeight="1">
      <c r="A890" s="40"/>
      <c r="B890" s="40"/>
      <c r="C890" s="124">
        <v>1</v>
      </c>
      <c r="D890" s="124"/>
      <c r="E890" s="124"/>
      <c r="F890" s="41"/>
      <c r="G890" s="41"/>
      <c r="H890" s="66" t="s">
        <v>35</v>
      </c>
      <c r="I890" s="125"/>
      <c r="J890" s="126"/>
      <c r="K890" s="204"/>
      <c r="L890" s="205"/>
      <c r="M890" s="205"/>
      <c r="N890" s="205"/>
      <c r="O890" s="205"/>
      <c r="P890" s="205"/>
      <c r="Q890" s="205"/>
      <c r="R890" s="205"/>
      <c r="S890" s="205"/>
      <c r="T890" s="205"/>
      <c r="U890" s="205"/>
      <c r="V890" s="205"/>
      <c r="W890" s="205"/>
      <c r="X890" s="205"/>
      <c r="Y890" s="205"/>
      <c r="Z890" s="205"/>
      <c r="AA890" s="205"/>
      <c r="AB890" s="205"/>
      <c r="AC890" s="205"/>
      <c r="AD890" s="205"/>
      <c r="AE890" s="205"/>
      <c r="AF890" s="205"/>
      <c r="AG890" s="205"/>
      <c r="AH890" s="205"/>
      <c r="AI890" s="205"/>
      <c r="AJ890" s="747"/>
    </row>
    <row r="891" spans="1:36" ht="13.5" customHeight="1">
      <c r="A891" s="40"/>
      <c r="B891" s="40"/>
      <c r="C891" s="124"/>
      <c r="D891" s="124">
        <v>3</v>
      </c>
      <c r="E891" s="124" t="s">
        <v>199</v>
      </c>
      <c r="F891" s="41"/>
      <c r="G891" s="41"/>
      <c r="H891" s="66"/>
      <c r="I891" s="125" t="s">
        <v>116</v>
      </c>
      <c r="J891" s="128">
        <v>3000000</v>
      </c>
      <c r="K891" s="208"/>
      <c r="L891" s="217">
        <f>SUM(J891:K891)</f>
        <v>3000000</v>
      </c>
      <c r="M891" s="217"/>
      <c r="N891" s="217"/>
      <c r="O891" s="217"/>
      <c r="P891" s="217"/>
      <c r="Q891" s="217"/>
      <c r="R891" s="217"/>
      <c r="S891" s="217">
        <f t="shared" ref="S891" si="988">SUM(M891:R891)</f>
        <v>0</v>
      </c>
      <c r="T891" s="217">
        <f t="shared" ref="T891" si="989">S891+L891</f>
        <v>3000000</v>
      </c>
      <c r="U891" s="217"/>
      <c r="V891" s="217"/>
      <c r="W891" s="217"/>
      <c r="X891" s="217"/>
      <c r="Y891" s="217"/>
      <c r="Z891" s="217">
        <f>SUM(U891:Y891)</f>
        <v>0</v>
      </c>
      <c r="AA891" s="217">
        <f>Z891+T891</f>
        <v>3000000</v>
      </c>
      <c r="AB891" s="217"/>
      <c r="AC891" s="217"/>
      <c r="AD891" s="217"/>
      <c r="AE891" s="217"/>
      <c r="AF891" s="217"/>
      <c r="AG891" s="217">
        <f t="shared" ref="AG891" si="990">SUM(AB891:AF891)</f>
        <v>0</v>
      </c>
      <c r="AH891" s="217">
        <f t="shared" ref="AH891" si="991">AG891+AA891</f>
        <v>3000000</v>
      </c>
      <c r="AI891" s="217">
        <v>3000000</v>
      </c>
      <c r="AJ891" s="764">
        <f>AI891/AH891*100</f>
        <v>100</v>
      </c>
    </row>
    <row r="892" spans="1:36" ht="13.5" customHeight="1">
      <c r="A892" s="40"/>
      <c r="B892" s="40"/>
      <c r="C892" s="124"/>
      <c r="D892" s="124"/>
      <c r="E892" s="124"/>
      <c r="F892" s="41"/>
      <c r="G892" s="41"/>
      <c r="H892" s="66"/>
      <c r="I892" s="66"/>
      <c r="J892" s="126"/>
      <c r="K892" s="204"/>
      <c r="L892" s="205"/>
      <c r="M892" s="205"/>
      <c r="N892" s="205"/>
      <c r="O892" s="205"/>
      <c r="P892" s="205"/>
      <c r="Q892" s="205"/>
      <c r="R892" s="205"/>
      <c r="S892" s="205"/>
      <c r="T892" s="205"/>
      <c r="U892" s="205"/>
      <c r="V892" s="205"/>
      <c r="W892" s="205"/>
      <c r="X892" s="205"/>
      <c r="Y892" s="205"/>
      <c r="Z892" s="205"/>
      <c r="AA892" s="205"/>
      <c r="AB892" s="205"/>
      <c r="AC892" s="205"/>
      <c r="AD892" s="205"/>
      <c r="AE892" s="205"/>
      <c r="AF892" s="205"/>
      <c r="AG892" s="205"/>
      <c r="AH892" s="205"/>
      <c r="AI892" s="205"/>
      <c r="AJ892" s="747"/>
    </row>
    <row r="893" spans="1:36" ht="13.5" customHeight="1">
      <c r="A893" s="40"/>
      <c r="B893" s="40"/>
      <c r="C893" s="124"/>
      <c r="D893" s="124"/>
      <c r="E893" s="124"/>
      <c r="F893" s="491"/>
      <c r="G893" s="42"/>
      <c r="H893" s="129"/>
      <c r="I893" s="166" t="s">
        <v>37</v>
      </c>
      <c r="J893" s="460">
        <f>SUM(J891:J892)</f>
        <v>3000000</v>
      </c>
      <c r="K893" s="461"/>
      <c r="L893" s="460">
        <f>SUM(L890:L892)</f>
        <v>3000000</v>
      </c>
      <c r="M893" s="460">
        <f t="shared" ref="M893:T893" si="992">SUM(M890:M892)</f>
        <v>0</v>
      </c>
      <c r="N893" s="460">
        <f t="shared" si="992"/>
        <v>0</v>
      </c>
      <c r="O893" s="460">
        <f t="shared" si="992"/>
        <v>0</v>
      </c>
      <c r="P893" s="460">
        <f t="shared" si="992"/>
        <v>0</v>
      </c>
      <c r="Q893" s="460">
        <f t="shared" si="992"/>
        <v>0</v>
      </c>
      <c r="R893" s="460">
        <f t="shared" si="992"/>
        <v>0</v>
      </c>
      <c r="S893" s="460">
        <f t="shared" si="992"/>
        <v>0</v>
      </c>
      <c r="T893" s="460">
        <f t="shared" si="992"/>
        <v>3000000</v>
      </c>
      <c r="U893" s="460"/>
      <c r="V893" s="460"/>
      <c r="W893" s="460"/>
      <c r="X893" s="460"/>
      <c r="Y893" s="460"/>
      <c r="Z893" s="460">
        <f t="shared" ref="Z893:AA893" si="993">SUM(Z890:Z892)</f>
        <v>0</v>
      </c>
      <c r="AA893" s="460">
        <f t="shared" si="993"/>
        <v>3000000</v>
      </c>
      <c r="AB893" s="460"/>
      <c r="AC893" s="460"/>
      <c r="AD893" s="460"/>
      <c r="AE893" s="460"/>
      <c r="AF893" s="460"/>
      <c r="AG893" s="460">
        <f t="shared" ref="AG893:AI893" si="994">SUM(AG890:AG892)</f>
        <v>0</v>
      </c>
      <c r="AH893" s="460">
        <f t="shared" si="994"/>
        <v>3000000</v>
      </c>
      <c r="AI893" s="460">
        <f t="shared" si="994"/>
        <v>3000000</v>
      </c>
      <c r="AJ893" s="771">
        <f>AI893/AH893*100</f>
        <v>100</v>
      </c>
    </row>
    <row r="894" spans="1:36" ht="14">
      <c r="A894" s="40"/>
      <c r="B894" s="40"/>
      <c r="C894" s="124"/>
      <c r="D894" s="124"/>
      <c r="E894" s="124"/>
      <c r="F894" s="41"/>
      <c r="G894" s="41"/>
      <c r="H894" s="66"/>
      <c r="I894" s="41"/>
      <c r="J894" s="126"/>
      <c r="K894" s="204"/>
      <c r="L894" s="205"/>
      <c r="M894" s="205"/>
      <c r="N894" s="205"/>
      <c r="O894" s="205"/>
      <c r="P894" s="205"/>
      <c r="Q894" s="205"/>
      <c r="R894" s="205"/>
      <c r="S894" s="205"/>
      <c r="T894" s="205"/>
      <c r="U894" s="205"/>
      <c r="V894" s="205"/>
      <c r="W894" s="205"/>
      <c r="X894" s="205"/>
      <c r="Y894" s="205"/>
      <c r="Z894" s="205"/>
      <c r="AA894" s="205"/>
      <c r="AB894" s="205"/>
      <c r="AC894" s="205"/>
      <c r="AD894" s="205"/>
      <c r="AE894" s="205"/>
      <c r="AF894" s="205"/>
      <c r="AG894" s="205"/>
      <c r="AH894" s="205"/>
      <c r="AI894" s="205"/>
      <c r="AJ894" s="747"/>
    </row>
    <row r="895" spans="1:36" ht="14">
      <c r="A895" s="40">
        <v>33</v>
      </c>
      <c r="B895" s="40"/>
      <c r="C895" s="124"/>
      <c r="D895" s="124"/>
      <c r="E895" s="124"/>
      <c r="F895" s="41" t="s">
        <v>437</v>
      </c>
      <c r="G895" s="41"/>
      <c r="H895" s="66"/>
      <c r="I895" s="66"/>
      <c r="J895" s="126"/>
      <c r="K895" s="204"/>
      <c r="L895" s="205"/>
      <c r="M895" s="205"/>
      <c r="N895" s="205"/>
      <c r="O895" s="205"/>
      <c r="P895" s="205"/>
      <c r="Q895" s="205"/>
      <c r="R895" s="205"/>
      <c r="S895" s="205"/>
      <c r="T895" s="205"/>
      <c r="U895" s="205"/>
      <c r="V895" s="205"/>
      <c r="W895" s="205"/>
      <c r="X895" s="205"/>
      <c r="Y895" s="205"/>
      <c r="Z895" s="205"/>
      <c r="AA895" s="205"/>
      <c r="AB895" s="205"/>
      <c r="AC895" s="205"/>
      <c r="AD895" s="205"/>
      <c r="AE895" s="205"/>
      <c r="AF895" s="205"/>
      <c r="AG895" s="205"/>
      <c r="AH895" s="205"/>
      <c r="AI895" s="205"/>
      <c r="AJ895" s="747"/>
    </row>
    <row r="896" spans="1:36" ht="14">
      <c r="A896" s="40"/>
      <c r="B896" s="40"/>
      <c r="C896" s="124">
        <v>1</v>
      </c>
      <c r="D896" s="124"/>
      <c r="E896" s="124"/>
      <c r="F896" s="41"/>
      <c r="G896" s="41"/>
      <c r="H896" s="66" t="s">
        <v>35</v>
      </c>
      <c r="I896" s="125"/>
      <c r="J896" s="126"/>
      <c r="K896" s="204"/>
      <c r="L896" s="205"/>
      <c r="M896" s="205"/>
      <c r="N896" s="205"/>
      <c r="O896" s="205"/>
      <c r="P896" s="205"/>
      <c r="Q896" s="205"/>
      <c r="R896" s="205"/>
      <c r="S896" s="205"/>
      <c r="T896" s="205"/>
      <c r="U896" s="205"/>
      <c r="V896" s="205"/>
      <c r="W896" s="205"/>
      <c r="X896" s="205"/>
      <c r="Y896" s="205"/>
      <c r="Z896" s="205"/>
      <c r="AA896" s="205"/>
      <c r="AB896" s="205"/>
      <c r="AC896" s="205"/>
      <c r="AD896" s="205"/>
      <c r="AE896" s="205"/>
      <c r="AF896" s="205"/>
      <c r="AG896" s="205"/>
      <c r="AH896" s="205"/>
      <c r="AI896" s="205"/>
      <c r="AJ896" s="747"/>
    </row>
    <row r="897" spans="1:36" ht="14">
      <c r="A897" s="40"/>
      <c r="B897" s="40"/>
      <c r="C897" s="124"/>
      <c r="D897" s="124">
        <v>5</v>
      </c>
      <c r="E897" s="124" t="s">
        <v>198</v>
      </c>
      <c r="F897" s="41"/>
      <c r="G897" s="41"/>
      <c r="H897" s="66"/>
      <c r="I897" s="66" t="s">
        <v>185</v>
      </c>
      <c r="J897" s="128">
        <v>1100000</v>
      </c>
      <c r="K897" s="208"/>
      <c r="L897" s="217">
        <f>SUM(J897:K897)</f>
        <v>1100000</v>
      </c>
      <c r="M897" s="217"/>
      <c r="N897" s="217"/>
      <c r="O897" s="217"/>
      <c r="P897" s="217"/>
      <c r="Q897" s="217"/>
      <c r="R897" s="217"/>
      <c r="S897" s="217">
        <f t="shared" ref="S897" si="995">SUM(M897:R897)</f>
        <v>0</v>
      </c>
      <c r="T897" s="217">
        <f t="shared" ref="T897" si="996">S897+L897</f>
        <v>1100000</v>
      </c>
      <c r="U897" s="217"/>
      <c r="V897" s="217"/>
      <c r="W897" s="217"/>
      <c r="X897" s="217"/>
      <c r="Y897" s="217"/>
      <c r="Z897" s="217">
        <f>SUM(U897:Y897)</f>
        <v>0</v>
      </c>
      <c r="AA897" s="217">
        <f>Z897+T897</f>
        <v>1100000</v>
      </c>
      <c r="AB897" s="217"/>
      <c r="AC897" s="217"/>
      <c r="AD897" s="217"/>
      <c r="AE897" s="217"/>
      <c r="AF897" s="217"/>
      <c r="AG897" s="217">
        <f t="shared" ref="AG897" si="997">SUM(AB897:AF897)</f>
        <v>0</v>
      </c>
      <c r="AH897" s="217">
        <f t="shared" ref="AH897" si="998">AG897+AA897</f>
        <v>1100000</v>
      </c>
      <c r="AI897" s="217">
        <v>1100000</v>
      </c>
      <c r="AJ897" s="764">
        <f>AI897/AH897*100</f>
        <v>100</v>
      </c>
    </row>
    <row r="898" spans="1:36" ht="10.5" customHeight="1">
      <c r="A898" s="40"/>
      <c r="B898" s="40"/>
      <c r="C898" s="124"/>
      <c r="D898" s="124"/>
      <c r="E898" s="124"/>
      <c r="F898" s="41"/>
      <c r="G898" s="41"/>
      <c r="H898" s="66"/>
      <c r="I898" s="66"/>
      <c r="J898" s="126"/>
      <c r="K898" s="204"/>
      <c r="L898" s="205"/>
      <c r="M898" s="205"/>
      <c r="N898" s="205"/>
      <c r="O898" s="205"/>
      <c r="P898" s="205"/>
      <c r="Q898" s="205"/>
      <c r="R898" s="205"/>
      <c r="S898" s="205"/>
      <c r="T898" s="205"/>
      <c r="U898" s="205"/>
      <c r="V898" s="205"/>
      <c r="W898" s="205"/>
      <c r="X898" s="205"/>
      <c r="Y898" s="205"/>
      <c r="Z898" s="205"/>
      <c r="AA898" s="205"/>
      <c r="AB898" s="205"/>
      <c r="AC898" s="205"/>
      <c r="AD898" s="205"/>
      <c r="AE898" s="205"/>
      <c r="AF898" s="205"/>
      <c r="AG898" s="205"/>
      <c r="AH898" s="205"/>
      <c r="AI898" s="205"/>
      <c r="AJ898" s="747"/>
    </row>
    <row r="899" spans="1:36" ht="14">
      <c r="A899" s="40"/>
      <c r="B899" s="40"/>
      <c r="C899" s="124"/>
      <c r="D899" s="124"/>
      <c r="E899" s="124"/>
      <c r="F899" s="491"/>
      <c r="G899" s="42"/>
      <c r="H899" s="129"/>
      <c r="I899" s="166" t="s">
        <v>37</v>
      </c>
      <c r="J899" s="460">
        <f>SUM(J894:J898)</f>
        <v>1100000</v>
      </c>
      <c r="K899" s="461"/>
      <c r="L899" s="460">
        <f>SUM(L894:L898)</f>
        <v>1100000</v>
      </c>
      <c r="M899" s="460">
        <f t="shared" ref="M899:T899" si="999">SUM(M894:M898)</f>
        <v>0</v>
      </c>
      <c r="N899" s="460">
        <f t="shared" si="999"/>
        <v>0</v>
      </c>
      <c r="O899" s="460">
        <f t="shared" si="999"/>
        <v>0</v>
      </c>
      <c r="P899" s="460">
        <f t="shared" si="999"/>
        <v>0</v>
      </c>
      <c r="Q899" s="460">
        <f t="shared" si="999"/>
        <v>0</v>
      </c>
      <c r="R899" s="460">
        <f t="shared" si="999"/>
        <v>0</v>
      </c>
      <c r="S899" s="460">
        <f t="shared" si="999"/>
        <v>0</v>
      </c>
      <c r="T899" s="460">
        <f t="shared" si="999"/>
        <v>1100000</v>
      </c>
      <c r="U899" s="460"/>
      <c r="V899" s="460"/>
      <c r="W899" s="460"/>
      <c r="X899" s="460"/>
      <c r="Y899" s="460"/>
      <c r="Z899" s="460">
        <f t="shared" ref="Z899:AA899" si="1000">SUM(Z894:Z898)</f>
        <v>0</v>
      </c>
      <c r="AA899" s="460">
        <f t="shared" si="1000"/>
        <v>1100000</v>
      </c>
      <c r="AB899" s="460"/>
      <c r="AC899" s="460"/>
      <c r="AD899" s="460"/>
      <c r="AE899" s="460"/>
      <c r="AF899" s="460"/>
      <c r="AG899" s="460">
        <f t="shared" ref="AG899:AI899" si="1001">SUM(AG894:AG898)</f>
        <v>0</v>
      </c>
      <c r="AH899" s="460">
        <f t="shared" si="1001"/>
        <v>1100000</v>
      </c>
      <c r="AI899" s="460">
        <f t="shared" si="1001"/>
        <v>1100000</v>
      </c>
      <c r="AJ899" s="771">
        <f>AI899/AH899*100</f>
        <v>100</v>
      </c>
    </row>
    <row r="900" spans="1:36" ht="13" customHeight="1">
      <c r="A900" s="40"/>
      <c r="B900" s="40"/>
      <c r="C900" s="124"/>
      <c r="D900" s="124"/>
      <c r="E900" s="124"/>
      <c r="F900" s="41"/>
      <c r="G900" s="41"/>
      <c r="H900" s="66"/>
      <c r="I900" s="41"/>
      <c r="J900" s="126"/>
      <c r="K900" s="204"/>
      <c r="L900" s="205"/>
      <c r="M900" s="205"/>
      <c r="N900" s="205"/>
      <c r="O900" s="205"/>
      <c r="P900" s="205"/>
      <c r="Q900" s="205"/>
      <c r="R900" s="205"/>
      <c r="S900" s="205"/>
      <c r="T900" s="205"/>
      <c r="U900" s="205"/>
      <c r="V900" s="205"/>
      <c r="W900" s="205"/>
      <c r="X900" s="205"/>
      <c r="Y900" s="205"/>
      <c r="Z900" s="205"/>
      <c r="AA900" s="205"/>
      <c r="AB900" s="205"/>
      <c r="AC900" s="205"/>
      <c r="AD900" s="205"/>
      <c r="AE900" s="205"/>
      <c r="AF900" s="205"/>
      <c r="AG900" s="205"/>
      <c r="AH900" s="205"/>
      <c r="AI900" s="205"/>
      <c r="AJ900" s="747"/>
    </row>
    <row r="901" spans="1:36" ht="13" customHeight="1">
      <c r="A901" s="40">
        <v>34</v>
      </c>
      <c r="B901" s="40"/>
      <c r="C901" s="124"/>
      <c r="D901" s="124"/>
      <c r="E901" s="124"/>
      <c r="F901" s="41" t="s">
        <v>27</v>
      </c>
      <c r="G901" s="41"/>
      <c r="H901" s="66"/>
      <c r="I901" s="66"/>
      <c r="J901" s="126"/>
      <c r="K901" s="204"/>
      <c r="L901" s="205"/>
      <c r="M901" s="205"/>
      <c r="N901" s="205"/>
      <c r="O901" s="205"/>
      <c r="P901" s="205"/>
      <c r="Q901" s="205"/>
      <c r="R901" s="205"/>
      <c r="S901" s="205"/>
      <c r="T901" s="205"/>
      <c r="U901" s="205"/>
      <c r="V901" s="205"/>
      <c r="W901" s="205"/>
      <c r="X901" s="205"/>
      <c r="Y901" s="205"/>
      <c r="Z901" s="205"/>
      <c r="AA901" s="205"/>
      <c r="AB901" s="205"/>
      <c r="AC901" s="205"/>
      <c r="AD901" s="205"/>
      <c r="AE901" s="205"/>
      <c r="AF901" s="205"/>
      <c r="AG901" s="205"/>
      <c r="AH901" s="205"/>
      <c r="AI901" s="205"/>
      <c r="AJ901" s="747"/>
    </row>
    <row r="902" spans="1:36" ht="13" customHeight="1">
      <c r="A902" s="40"/>
      <c r="B902" s="40"/>
      <c r="C902" s="124">
        <v>1</v>
      </c>
      <c r="D902" s="124"/>
      <c r="E902" s="124"/>
      <c r="F902" s="41"/>
      <c r="G902" s="41"/>
      <c r="H902" s="66" t="s">
        <v>35</v>
      </c>
      <c r="I902" s="125"/>
      <c r="J902" s="126"/>
      <c r="K902" s="204"/>
      <c r="L902" s="205"/>
      <c r="M902" s="205"/>
      <c r="N902" s="205"/>
      <c r="O902" s="205"/>
      <c r="P902" s="205"/>
      <c r="Q902" s="205"/>
      <c r="R902" s="205"/>
      <c r="S902" s="205"/>
      <c r="T902" s="205"/>
      <c r="U902" s="205"/>
      <c r="V902" s="205"/>
      <c r="W902" s="205"/>
      <c r="X902" s="205"/>
      <c r="Y902" s="205"/>
      <c r="Z902" s="205"/>
      <c r="AA902" s="205"/>
      <c r="AB902" s="205"/>
      <c r="AC902" s="205"/>
      <c r="AD902" s="205"/>
      <c r="AE902" s="205"/>
      <c r="AF902" s="205"/>
      <c r="AG902" s="205"/>
      <c r="AH902" s="205"/>
      <c r="AI902" s="205"/>
      <c r="AJ902" s="747"/>
    </row>
    <row r="903" spans="1:36" ht="13" customHeight="1">
      <c r="A903" s="40"/>
      <c r="B903" s="40"/>
      <c r="C903" s="124"/>
      <c r="D903" s="124">
        <v>5</v>
      </c>
      <c r="E903" s="124" t="s">
        <v>198</v>
      </c>
      <c r="F903" s="451"/>
      <c r="G903" s="41"/>
      <c r="H903" s="66"/>
      <c r="I903" s="66" t="s">
        <v>185</v>
      </c>
      <c r="J903" s="128">
        <v>5700000</v>
      </c>
      <c r="K903" s="208"/>
      <c r="L903" s="217">
        <f>SUM(J903:K903)</f>
        <v>5700000</v>
      </c>
      <c r="M903" s="217">
        <v>70490</v>
      </c>
      <c r="N903" s="217"/>
      <c r="O903" s="217">
        <v>50000</v>
      </c>
      <c r="P903" s="217"/>
      <c r="Q903" s="217">
        <v>1300000</v>
      </c>
      <c r="R903" s="217"/>
      <c r="S903" s="217">
        <f t="shared" ref="S903" si="1002">SUM(M903:R903)</f>
        <v>1420490</v>
      </c>
      <c r="T903" s="217">
        <f t="shared" ref="T903" si="1003">S903+L903</f>
        <v>7120490</v>
      </c>
      <c r="U903" s="217"/>
      <c r="V903" s="217"/>
      <c r="W903" s="217"/>
      <c r="X903" s="217">
        <v>375000</v>
      </c>
      <c r="Y903" s="217"/>
      <c r="Z903" s="217">
        <f>SUM(U903:Y903)</f>
        <v>375000</v>
      </c>
      <c r="AA903" s="217">
        <f>Z903+T903</f>
        <v>7495490</v>
      </c>
      <c r="AB903" s="217"/>
      <c r="AC903" s="217">
        <v>800000</v>
      </c>
      <c r="AD903" s="217"/>
      <c r="AE903" s="217">
        <v>860010</v>
      </c>
      <c r="AF903" s="217"/>
      <c r="AG903" s="217">
        <f t="shared" ref="AG903" si="1004">SUM(AB903:AF903)</f>
        <v>1660010</v>
      </c>
      <c r="AH903" s="217">
        <f t="shared" ref="AH903" si="1005">AG903+AA903</f>
        <v>9155500</v>
      </c>
      <c r="AI903" s="217">
        <v>7730500</v>
      </c>
      <c r="AJ903" s="764">
        <f>AI903/AH903*100</f>
        <v>84.435585167385725</v>
      </c>
    </row>
    <row r="904" spans="1:36" ht="6.5" customHeight="1">
      <c r="A904" s="40"/>
      <c r="B904" s="40"/>
      <c r="C904" s="124"/>
      <c r="D904" s="124"/>
      <c r="E904" s="124"/>
      <c r="F904" s="41"/>
      <c r="G904" s="41"/>
      <c r="H904" s="66"/>
      <c r="I904" s="66"/>
      <c r="J904" s="128"/>
      <c r="K904" s="208"/>
      <c r="L904" s="217"/>
      <c r="M904" s="217"/>
      <c r="N904" s="217"/>
      <c r="O904" s="217"/>
      <c r="P904" s="217"/>
      <c r="Q904" s="217"/>
      <c r="R904" s="217"/>
      <c r="S904" s="217"/>
      <c r="T904" s="217"/>
      <c r="U904" s="217"/>
      <c r="V904" s="217"/>
      <c r="W904" s="217"/>
      <c r="X904" s="217"/>
      <c r="Y904" s="217"/>
      <c r="Z904" s="217"/>
      <c r="AA904" s="217"/>
      <c r="AB904" s="217"/>
      <c r="AC904" s="217"/>
      <c r="AD904" s="217"/>
      <c r="AE904" s="217"/>
      <c r="AF904" s="217"/>
      <c r="AG904" s="217"/>
      <c r="AH904" s="217"/>
      <c r="AI904" s="217"/>
      <c r="AJ904" s="764"/>
    </row>
    <row r="905" spans="1:36" ht="13" customHeight="1">
      <c r="A905" s="40"/>
      <c r="B905" s="40"/>
      <c r="C905" s="124"/>
      <c r="D905" s="124"/>
      <c r="E905" s="124"/>
      <c r="F905" s="491"/>
      <c r="G905" s="42"/>
      <c r="H905" s="129"/>
      <c r="I905" s="166" t="s">
        <v>37</v>
      </c>
      <c r="J905" s="460">
        <f>SUM(J903:J904)</f>
        <v>5700000</v>
      </c>
      <c r="K905" s="461"/>
      <c r="L905" s="460">
        <f>SUM(L903:L904)</f>
        <v>5700000</v>
      </c>
      <c r="M905" s="460">
        <f t="shared" ref="M905:T905" si="1006">SUM(M903:M904)</f>
        <v>70490</v>
      </c>
      <c r="N905" s="460">
        <f t="shared" si="1006"/>
        <v>0</v>
      </c>
      <c r="O905" s="460">
        <f t="shared" si="1006"/>
        <v>50000</v>
      </c>
      <c r="P905" s="460">
        <f t="shared" si="1006"/>
        <v>0</v>
      </c>
      <c r="Q905" s="460">
        <f t="shared" si="1006"/>
        <v>1300000</v>
      </c>
      <c r="R905" s="460">
        <f t="shared" si="1006"/>
        <v>0</v>
      </c>
      <c r="S905" s="460">
        <f t="shared" si="1006"/>
        <v>1420490</v>
      </c>
      <c r="T905" s="460">
        <f t="shared" si="1006"/>
        <v>7120490</v>
      </c>
      <c r="U905" s="460"/>
      <c r="V905" s="460"/>
      <c r="W905" s="460"/>
      <c r="X905" s="460">
        <f t="shared" ref="X905:AC905" si="1007">SUM(X903:X904)</f>
        <v>375000</v>
      </c>
      <c r="Y905" s="460"/>
      <c r="Z905" s="460">
        <f t="shared" si="1007"/>
        <v>375000</v>
      </c>
      <c r="AA905" s="460">
        <f t="shared" si="1007"/>
        <v>7495490</v>
      </c>
      <c r="AB905" s="460"/>
      <c r="AC905" s="460">
        <f t="shared" si="1007"/>
        <v>800000</v>
      </c>
      <c r="AD905" s="460"/>
      <c r="AE905" s="460">
        <f t="shared" ref="AE905" si="1008">SUM(AE903:AE904)</f>
        <v>860010</v>
      </c>
      <c r="AF905" s="460"/>
      <c r="AG905" s="460">
        <f t="shared" ref="AG905:AI905" si="1009">SUM(AG903:AG904)</f>
        <v>1660010</v>
      </c>
      <c r="AH905" s="460">
        <f t="shared" si="1009"/>
        <v>9155500</v>
      </c>
      <c r="AI905" s="460">
        <f t="shared" si="1009"/>
        <v>7730500</v>
      </c>
      <c r="AJ905" s="771">
        <f>AI905/AH905*100</f>
        <v>84.435585167385725</v>
      </c>
    </row>
    <row r="906" spans="1:36" ht="13" customHeight="1">
      <c r="A906" s="40"/>
      <c r="B906" s="40"/>
      <c r="C906" s="124"/>
      <c r="D906" s="124"/>
      <c r="E906" s="124"/>
      <c r="F906" s="41"/>
      <c r="G906" s="41"/>
      <c r="H906" s="66"/>
      <c r="I906" s="41"/>
      <c r="J906" s="126"/>
      <c r="K906" s="204"/>
      <c r="L906" s="205"/>
      <c r="M906" s="205"/>
      <c r="N906" s="205"/>
      <c r="O906" s="205"/>
      <c r="P906" s="205"/>
      <c r="Q906" s="205"/>
      <c r="R906" s="205"/>
      <c r="S906" s="205"/>
      <c r="T906" s="205"/>
      <c r="U906" s="205"/>
      <c r="V906" s="205"/>
      <c r="W906" s="205"/>
      <c r="X906" s="205"/>
      <c r="Y906" s="205"/>
      <c r="Z906" s="205"/>
      <c r="AA906" s="205"/>
      <c r="AB906" s="205"/>
      <c r="AC906" s="205"/>
      <c r="AD906" s="205"/>
      <c r="AE906" s="205"/>
      <c r="AF906" s="205"/>
      <c r="AG906" s="205"/>
      <c r="AH906" s="205"/>
      <c r="AI906" s="205"/>
      <c r="AJ906" s="747"/>
    </row>
    <row r="907" spans="1:36" ht="13" customHeight="1">
      <c r="A907" s="40">
        <v>35</v>
      </c>
      <c r="B907" s="40"/>
      <c r="C907" s="124"/>
      <c r="D907" s="124"/>
      <c r="E907" s="124"/>
      <c r="F907" s="41" t="s">
        <v>136</v>
      </c>
      <c r="G907" s="41"/>
      <c r="H907" s="66"/>
      <c r="I907" s="66"/>
      <c r="J907" s="126"/>
      <c r="K907" s="204"/>
      <c r="L907" s="205"/>
      <c r="M907" s="205"/>
      <c r="N907" s="205"/>
      <c r="O907" s="205"/>
      <c r="P907" s="205"/>
      <c r="Q907" s="205"/>
      <c r="R907" s="205"/>
      <c r="S907" s="205"/>
      <c r="T907" s="205"/>
      <c r="U907" s="205"/>
      <c r="V907" s="205"/>
      <c r="W907" s="205"/>
      <c r="X907" s="205"/>
      <c r="Y907" s="205"/>
      <c r="Z907" s="205"/>
      <c r="AA907" s="205"/>
      <c r="AB907" s="205"/>
      <c r="AC907" s="205"/>
      <c r="AD907" s="205"/>
      <c r="AE907" s="205"/>
      <c r="AF907" s="205"/>
      <c r="AG907" s="205"/>
      <c r="AH907" s="205"/>
      <c r="AI907" s="205"/>
      <c r="AJ907" s="747"/>
    </row>
    <row r="908" spans="1:36" ht="13" customHeight="1">
      <c r="A908" s="40"/>
      <c r="B908" s="40"/>
      <c r="C908" s="124">
        <v>1</v>
      </c>
      <c r="D908" s="124"/>
      <c r="E908" s="124"/>
      <c r="F908" s="41"/>
      <c r="G908" s="41"/>
      <c r="H908" s="66" t="s">
        <v>35</v>
      </c>
      <c r="I908" s="125"/>
      <c r="J908" s="128"/>
      <c r="K908" s="208"/>
      <c r="L908" s="217"/>
      <c r="M908" s="217"/>
      <c r="N908" s="217"/>
      <c r="O908" s="217"/>
      <c r="P908" s="217"/>
      <c r="Q908" s="217"/>
      <c r="R908" s="217"/>
      <c r="S908" s="217"/>
      <c r="T908" s="217"/>
      <c r="U908" s="217"/>
      <c r="V908" s="217"/>
      <c r="W908" s="217"/>
      <c r="X908" s="217"/>
      <c r="Y908" s="217"/>
      <c r="Z908" s="217"/>
      <c r="AA908" s="217"/>
      <c r="AB908" s="217"/>
      <c r="AC908" s="217"/>
      <c r="AD908" s="217"/>
      <c r="AE908" s="217"/>
      <c r="AF908" s="217"/>
      <c r="AG908" s="217"/>
      <c r="AH908" s="217"/>
      <c r="AI908" s="217"/>
      <c r="AJ908" s="764"/>
    </row>
    <row r="909" spans="1:36" ht="13" customHeight="1">
      <c r="A909" s="40"/>
      <c r="B909" s="40"/>
      <c r="C909" s="124"/>
      <c r="D909" s="124">
        <v>1</v>
      </c>
      <c r="E909" s="124" t="s">
        <v>199</v>
      </c>
      <c r="F909" s="41"/>
      <c r="G909" s="41"/>
      <c r="H909" s="66"/>
      <c r="I909" s="66" t="s">
        <v>180</v>
      </c>
      <c r="J909" s="128">
        <v>500000</v>
      </c>
      <c r="K909" s="208"/>
      <c r="L909" s="217">
        <f>SUM(J909:K909)</f>
        <v>500000</v>
      </c>
      <c r="M909" s="217"/>
      <c r="N909" s="217"/>
      <c r="O909" s="217"/>
      <c r="P909" s="217"/>
      <c r="Q909" s="217"/>
      <c r="R909" s="217"/>
      <c r="S909" s="217">
        <f t="shared" ref="S909:S911" si="1010">SUM(M909:R909)</f>
        <v>0</v>
      </c>
      <c r="T909" s="217">
        <f t="shared" ref="T909:T911" si="1011">S909+L909</f>
        <v>500000</v>
      </c>
      <c r="U909" s="217"/>
      <c r="V909" s="217"/>
      <c r="W909" s="217"/>
      <c r="X909" s="217"/>
      <c r="Y909" s="217"/>
      <c r="Z909" s="217">
        <f>SUM(U909:Y909)</f>
        <v>0</v>
      </c>
      <c r="AA909" s="217">
        <f>Z909+T909</f>
        <v>500000</v>
      </c>
      <c r="AB909" s="217"/>
      <c r="AC909" s="217"/>
      <c r="AD909" s="217"/>
      <c r="AE909" s="217">
        <v>-83932</v>
      </c>
      <c r="AF909" s="217"/>
      <c r="AG909" s="217">
        <f t="shared" ref="AG909:AG911" si="1012">SUM(AB909:AF909)</f>
        <v>-83932</v>
      </c>
      <c r="AH909" s="217">
        <f t="shared" ref="AH909:AH911" si="1013">AG909+AA909</f>
        <v>416068</v>
      </c>
      <c r="AI909" s="217">
        <v>329926</v>
      </c>
      <c r="AJ909" s="764">
        <f t="shared" ref="AJ909:AJ911" si="1014">AI909/AH909*100</f>
        <v>79.296172740994265</v>
      </c>
    </row>
    <row r="910" spans="1:36" ht="13" customHeight="1">
      <c r="A910" s="40"/>
      <c r="B910" s="40"/>
      <c r="C910" s="124"/>
      <c r="D910" s="124">
        <v>2</v>
      </c>
      <c r="E910" s="124" t="s">
        <v>199</v>
      </c>
      <c r="F910" s="451"/>
      <c r="G910" s="41"/>
      <c r="H910" s="66"/>
      <c r="I910" s="66" t="s">
        <v>182</v>
      </c>
      <c r="J910" s="128">
        <v>258509</v>
      </c>
      <c r="K910" s="208"/>
      <c r="L910" s="217">
        <f>SUM(J910:K910)</f>
        <v>258509</v>
      </c>
      <c r="M910" s="217"/>
      <c r="N910" s="217"/>
      <c r="O910" s="217"/>
      <c r="P910" s="217"/>
      <c r="Q910" s="217"/>
      <c r="R910" s="217"/>
      <c r="S910" s="217">
        <f t="shared" si="1010"/>
        <v>0</v>
      </c>
      <c r="T910" s="217">
        <f t="shared" si="1011"/>
        <v>258509</v>
      </c>
      <c r="U910" s="217"/>
      <c r="V910" s="217"/>
      <c r="W910" s="217"/>
      <c r="X910" s="217"/>
      <c r="Y910" s="217"/>
      <c r="Z910" s="217">
        <f>SUM(U910:Y910)</f>
        <v>0</v>
      </c>
      <c r="AA910" s="217">
        <f>Z910+T910</f>
        <v>258509</v>
      </c>
      <c r="AB910" s="217"/>
      <c r="AC910" s="217"/>
      <c r="AD910" s="217"/>
      <c r="AE910" s="217"/>
      <c r="AF910" s="217"/>
      <c r="AG910" s="217">
        <f t="shared" si="1012"/>
        <v>0</v>
      </c>
      <c r="AH910" s="217">
        <f t="shared" si="1013"/>
        <v>258509</v>
      </c>
      <c r="AI910" s="217">
        <v>169147</v>
      </c>
      <c r="AJ910" s="764">
        <f t="shared" si="1014"/>
        <v>65.431764464680143</v>
      </c>
    </row>
    <row r="911" spans="1:36" ht="13" customHeight="1">
      <c r="A911" s="40"/>
      <c r="B911" s="40"/>
      <c r="C911" s="124"/>
      <c r="D911" s="124">
        <v>3</v>
      </c>
      <c r="E911" s="124" t="s">
        <v>199</v>
      </c>
      <c r="F911" s="41"/>
      <c r="G911" s="41"/>
      <c r="H911" s="66"/>
      <c r="I911" s="66" t="s">
        <v>116</v>
      </c>
      <c r="J911" s="128">
        <v>6241491</v>
      </c>
      <c r="K911" s="208"/>
      <c r="L911" s="217">
        <f>SUM(J911:K911)</f>
        <v>6241491</v>
      </c>
      <c r="M911" s="217">
        <v>10846</v>
      </c>
      <c r="N911" s="217"/>
      <c r="O911" s="217"/>
      <c r="P911" s="217"/>
      <c r="Q911" s="217"/>
      <c r="R911" s="217"/>
      <c r="S911" s="217">
        <f t="shared" si="1010"/>
        <v>10846</v>
      </c>
      <c r="T911" s="217">
        <f t="shared" si="1011"/>
        <v>6252337</v>
      </c>
      <c r="U911" s="217"/>
      <c r="V911" s="217"/>
      <c r="W911" s="217"/>
      <c r="X911" s="217"/>
      <c r="Y911" s="217"/>
      <c r="Z911" s="217">
        <f>SUM(U911:Y911)</f>
        <v>0</v>
      </c>
      <c r="AA911" s="217">
        <f>Z911+T911</f>
        <v>6252337</v>
      </c>
      <c r="AB911" s="217"/>
      <c r="AC911" s="217"/>
      <c r="AD911" s="217"/>
      <c r="AE911" s="217"/>
      <c r="AF911" s="217"/>
      <c r="AG911" s="217">
        <f t="shared" si="1012"/>
        <v>0</v>
      </c>
      <c r="AH911" s="217">
        <f t="shared" si="1013"/>
        <v>6252337</v>
      </c>
      <c r="AI911" s="217">
        <v>5424961</v>
      </c>
      <c r="AJ911" s="764">
        <f t="shared" si="1014"/>
        <v>86.766932108745891</v>
      </c>
    </row>
    <row r="912" spans="1:36" ht="13" customHeight="1">
      <c r="A912" s="40"/>
      <c r="B912" s="40"/>
      <c r="C912" s="124"/>
      <c r="D912" s="124"/>
      <c r="E912" s="124"/>
      <c r="F912" s="41"/>
      <c r="G912" s="41"/>
      <c r="H912" s="66"/>
      <c r="I912" s="66"/>
      <c r="J912" s="126"/>
      <c r="K912" s="204"/>
      <c r="L912" s="217"/>
      <c r="M912" s="217"/>
      <c r="N912" s="217"/>
      <c r="O912" s="217"/>
      <c r="P912" s="217"/>
      <c r="Q912" s="217"/>
      <c r="R912" s="217"/>
      <c r="S912" s="217"/>
      <c r="T912" s="217"/>
      <c r="U912" s="217"/>
      <c r="V912" s="217"/>
      <c r="W912" s="217"/>
      <c r="X912" s="217"/>
      <c r="Y912" s="217"/>
      <c r="Z912" s="217"/>
      <c r="AA912" s="217"/>
      <c r="AB912" s="217"/>
      <c r="AC912" s="217"/>
      <c r="AD912" s="217"/>
      <c r="AE912" s="217"/>
      <c r="AF912" s="217"/>
      <c r="AG912" s="217"/>
      <c r="AH912" s="217"/>
      <c r="AI912" s="217"/>
      <c r="AJ912" s="764"/>
    </row>
    <row r="913" spans="1:36" ht="14">
      <c r="A913" s="40"/>
      <c r="B913" s="40"/>
      <c r="C913" s="124"/>
      <c r="D913" s="124"/>
      <c r="E913" s="124"/>
      <c r="F913" s="491"/>
      <c r="G913" s="42"/>
      <c r="H913" s="129"/>
      <c r="I913" s="166" t="s">
        <v>37</v>
      </c>
      <c r="J913" s="460">
        <f>SUM(J906:J912)</f>
        <v>7000000</v>
      </c>
      <c r="K913" s="461"/>
      <c r="L913" s="460">
        <f>SUM(L908:L912)</f>
        <v>7000000</v>
      </c>
      <c r="M913" s="460">
        <f t="shared" ref="M913:T913" si="1015">SUM(M908:M912)</f>
        <v>10846</v>
      </c>
      <c r="N913" s="460">
        <f t="shared" si="1015"/>
        <v>0</v>
      </c>
      <c r="O913" s="460">
        <f t="shared" si="1015"/>
        <v>0</v>
      </c>
      <c r="P913" s="460">
        <f t="shared" si="1015"/>
        <v>0</v>
      </c>
      <c r="Q913" s="460">
        <f t="shared" si="1015"/>
        <v>0</v>
      </c>
      <c r="R913" s="460">
        <f t="shared" si="1015"/>
        <v>0</v>
      </c>
      <c r="S913" s="460">
        <f t="shared" si="1015"/>
        <v>10846</v>
      </c>
      <c r="T913" s="460">
        <f t="shared" si="1015"/>
        <v>7010846</v>
      </c>
      <c r="U913" s="460"/>
      <c r="V913" s="460"/>
      <c r="W913" s="460"/>
      <c r="X913" s="460"/>
      <c r="Y913" s="460"/>
      <c r="Z913" s="460">
        <f t="shared" ref="Z913:AA913" si="1016">SUM(Z908:Z912)</f>
        <v>0</v>
      </c>
      <c r="AA913" s="460">
        <f t="shared" si="1016"/>
        <v>7010846</v>
      </c>
      <c r="AB913" s="460"/>
      <c r="AC913" s="460"/>
      <c r="AD913" s="460"/>
      <c r="AE913" s="460">
        <f t="shared" ref="AE913:AI913" si="1017">SUM(AE908:AE912)</f>
        <v>-83932</v>
      </c>
      <c r="AF913" s="460"/>
      <c r="AG913" s="460">
        <f t="shared" si="1017"/>
        <v>-83932</v>
      </c>
      <c r="AH913" s="460">
        <f t="shared" si="1017"/>
        <v>6926914</v>
      </c>
      <c r="AI913" s="460">
        <f t="shared" si="1017"/>
        <v>5924034</v>
      </c>
      <c r="AJ913" s="771">
        <f>AI913/AH913*100</f>
        <v>85.521979917752702</v>
      </c>
    </row>
    <row r="914" spans="1:36" ht="14">
      <c r="A914" s="40"/>
      <c r="B914" s="40"/>
      <c r="C914" s="124"/>
      <c r="D914" s="124"/>
      <c r="E914" s="124"/>
      <c r="F914" s="41"/>
      <c r="G914" s="41"/>
      <c r="H914" s="66"/>
      <c r="I914" s="41"/>
      <c r="J914" s="126"/>
      <c r="K914" s="204"/>
      <c r="L914" s="205"/>
      <c r="M914" s="205"/>
      <c r="N914" s="205"/>
      <c r="O914" s="205"/>
      <c r="P914" s="205"/>
      <c r="Q914" s="205"/>
      <c r="R914" s="205"/>
      <c r="S914" s="205"/>
      <c r="T914" s="205"/>
      <c r="U914" s="205"/>
      <c r="V914" s="205"/>
      <c r="W914" s="205"/>
      <c r="X914" s="205"/>
      <c r="Y914" s="205"/>
      <c r="Z914" s="205"/>
      <c r="AA914" s="205"/>
      <c r="AB914" s="205"/>
      <c r="AC914" s="205"/>
      <c r="AD914" s="205"/>
      <c r="AE914" s="205"/>
      <c r="AF914" s="205"/>
      <c r="AG914" s="205"/>
      <c r="AH914" s="205"/>
      <c r="AI914" s="205"/>
      <c r="AJ914" s="747"/>
    </row>
    <row r="915" spans="1:36" ht="14">
      <c r="A915" s="40">
        <v>36</v>
      </c>
      <c r="B915" s="40"/>
      <c r="C915" s="124"/>
      <c r="D915" s="124"/>
      <c r="E915" s="124"/>
      <c r="F915" s="41" t="s">
        <v>438</v>
      </c>
      <c r="G915" s="41"/>
      <c r="H915" s="66"/>
      <c r="I915" s="66"/>
      <c r="J915" s="126"/>
      <c r="K915" s="204"/>
      <c r="L915" s="205"/>
      <c r="M915" s="205"/>
      <c r="N915" s="205"/>
      <c r="O915" s="205"/>
      <c r="P915" s="205"/>
      <c r="Q915" s="205"/>
      <c r="R915" s="205"/>
      <c r="S915" s="205"/>
      <c r="T915" s="205"/>
      <c r="U915" s="205"/>
      <c r="V915" s="205"/>
      <c r="W915" s="205"/>
      <c r="X915" s="205"/>
      <c r="Y915" s="205"/>
      <c r="Z915" s="205"/>
      <c r="AA915" s="205"/>
      <c r="AB915" s="205"/>
      <c r="AC915" s="205"/>
      <c r="AD915" s="205"/>
      <c r="AE915" s="205"/>
      <c r="AF915" s="205"/>
      <c r="AG915" s="205"/>
      <c r="AH915" s="205"/>
      <c r="AI915" s="205"/>
      <c r="AJ915" s="747"/>
    </row>
    <row r="916" spans="1:36" ht="14">
      <c r="A916" s="40"/>
      <c r="B916" s="40"/>
      <c r="C916" s="124">
        <v>1</v>
      </c>
      <c r="D916" s="124"/>
      <c r="E916" s="124"/>
      <c r="F916" s="41"/>
      <c r="G916" s="41"/>
      <c r="H916" s="66" t="s">
        <v>35</v>
      </c>
      <c r="I916" s="125"/>
      <c r="J916" s="128"/>
      <c r="K916" s="208"/>
      <c r="L916" s="217"/>
      <c r="M916" s="217"/>
      <c r="N916" s="217"/>
      <c r="O916" s="217"/>
      <c r="P916" s="217"/>
      <c r="Q916" s="217"/>
      <c r="R916" s="217"/>
      <c r="S916" s="217"/>
      <c r="T916" s="217"/>
      <c r="U916" s="217"/>
      <c r="V916" s="217"/>
      <c r="W916" s="217"/>
      <c r="X916" s="217"/>
      <c r="Y916" s="217"/>
      <c r="Z916" s="217"/>
      <c r="AA916" s="217"/>
      <c r="AB916" s="217"/>
      <c r="AC916" s="217"/>
      <c r="AD916" s="217"/>
      <c r="AE916" s="217"/>
      <c r="AF916" s="217"/>
      <c r="AG916" s="217"/>
      <c r="AH916" s="217"/>
      <c r="AI916" s="217"/>
      <c r="AJ916" s="764"/>
    </row>
    <row r="917" spans="1:36" ht="14">
      <c r="A917" s="40"/>
      <c r="B917" s="40"/>
      <c r="C917" s="124"/>
      <c r="D917" s="124">
        <v>1</v>
      </c>
      <c r="E917" s="124" t="s">
        <v>198</v>
      </c>
      <c r="F917" s="41"/>
      <c r="G917" s="41"/>
      <c r="H917" s="66"/>
      <c r="I917" s="66" t="s">
        <v>180</v>
      </c>
      <c r="J917" s="128">
        <v>5500000</v>
      </c>
      <c r="K917" s="208"/>
      <c r="L917" s="217">
        <f>SUM(J917:K917)</f>
        <v>5500000</v>
      </c>
      <c r="M917" s="217">
        <v>2000000</v>
      </c>
      <c r="N917" s="217"/>
      <c r="O917" s="217"/>
      <c r="P917" s="217"/>
      <c r="Q917" s="217"/>
      <c r="R917" s="217"/>
      <c r="S917" s="217">
        <f t="shared" ref="S917:S919" si="1018">SUM(M917:R917)</f>
        <v>2000000</v>
      </c>
      <c r="T917" s="217">
        <f t="shared" ref="T917:T919" si="1019">S917+L917</f>
        <v>7500000</v>
      </c>
      <c r="U917" s="217"/>
      <c r="V917" s="217"/>
      <c r="W917" s="217"/>
      <c r="X917" s="217">
        <v>-639322</v>
      </c>
      <c r="Y917" s="217"/>
      <c r="Z917" s="217">
        <f>SUM(U917:Y917)</f>
        <v>-639322</v>
      </c>
      <c r="AA917" s="217">
        <f>Z917+T917</f>
        <v>6860678</v>
      </c>
      <c r="AB917" s="217"/>
      <c r="AC917" s="217"/>
      <c r="AD917" s="217"/>
      <c r="AE917" s="217">
        <v>-4947900</v>
      </c>
      <c r="AF917" s="217"/>
      <c r="AG917" s="217">
        <f t="shared" ref="AG917:AG919" si="1020">SUM(AB917:AF917)</f>
        <v>-4947900</v>
      </c>
      <c r="AH917" s="217">
        <f t="shared" ref="AH917:AH919" si="1021">AG917+AA917</f>
        <v>1912778</v>
      </c>
      <c r="AI917" s="217">
        <v>1815702</v>
      </c>
      <c r="AJ917" s="764">
        <f t="shared" ref="AJ917:AJ919" si="1022">AI917/AH917*100</f>
        <v>94.924868437424522</v>
      </c>
    </row>
    <row r="918" spans="1:36" ht="14">
      <c r="A918" s="40"/>
      <c r="B918" s="40"/>
      <c r="C918" s="124"/>
      <c r="D918" s="124">
        <v>2</v>
      </c>
      <c r="E918" s="124" t="s">
        <v>198</v>
      </c>
      <c r="F918" s="451"/>
      <c r="G918" s="41"/>
      <c r="H918" s="66"/>
      <c r="I918" s="66" t="s">
        <v>182</v>
      </c>
      <c r="J918" s="128">
        <v>2843594</v>
      </c>
      <c r="K918" s="208"/>
      <c r="L918" s="217">
        <f>SUM(J918:K918)</f>
        <v>2843594</v>
      </c>
      <c r="M918" s="217">
        <v>1039974</v>
      </c>
      <c r="N918" s="217"/>
      <c r="O918" s="217"/>
      <c r="P918" s="217"/>
      <c r="Q918" s="217"/>
      <c r="R918" s="217"/>
      <c r="S918" s="217">
        <f t="shared" si="1018"/>
        <v>1039974</v>
      </c>
      <c r="T918" s="217">
        <f t="shared" si="1019"/>
        <v>3883568</v>
      </c>
      <c r="U918" s="217"/>
      <c r="V918" s="217"/>
      <c r="W918" s="217"/>
      <c r="X918" s="217">
        <v>-283789</v>
      </c>
      <c r="Y918" s="217"/>
      <c r="Z918" s="217">
        <f>SUM(U918:Y918)</f>
        <v>-283789</v>
      </c>
      <c r="AA918" s="217">
        <f>Z918+T918</f>
        <v>3599779</v>
      </c>
      <c r="AB918" s="217"/>
      <c r="AC918" s="217"/>
      <c r="AD918" s="217"/>
      <c r="AE918" s="217">
        <v>-2464053</v>
      </c>
      <c r="AF918" s="217"/>
      <c r="AG918" s="217">
        <f t="shared" si="1020"/>
        <v>-2464053</v>
      </c>
      <c r="AH918" s="217">
        <f t="shared" si="1021"/>
        <v>1135726</v>
      </c>
      <c r="AI918" s="217">
        <v>944691</v>
      </c>
      <c r="AJ918" s="764">
        <f t="shared" si="1022"/>
        <v>83.179481670755095</v>
      </c>
    </row>
    <row r="919" spans="1:36" ht="14">
      <c r="A919" s="40"/>
      <c r="B919" s="40"/>
      <c r="C919" s="124"/>
      <c r="D919" s="124">
        <v>3</v>
      </c>
      <c r="E919" s="124" t="s">
        <v>198</v>
      </c>
      <c r="F919" s="41"/>
      <c r="G919" s="41"/>
      <c r="H919" s="66"/>
      <c r="I919" s="66" t="s">
        <v>116</v>
      </c>
      <c r="J919" s="128">
        <v>1656406</v>
      </c>
      <c r="K919" s="208"/>
      <c r="L919" s="217">
        <f>SUM(J919:K919)</f>
        <v>1656406</v>
      </c>
      <c r="M919" s="217">
        <v>547830</v>
      </c>
      <c r="N919" s="217"/>
      <c r="O919" s="217"/>
      <c r="P919" s="217"/>
      <c r="Q919" s="217"/>
      <c r="R919" s="217"/>
      <c r="S919" s="217">
        <f t="shared" si="1018"/>
        <v>547830</v>
      </c>
      <c r="T919" s="217">
        <f t="shared" si="1019"/>
        <v>2204236</v>
      </c>
      <c r="U919" s="217"/>
      <c r="V919" s="217"/>
      <c r="W919" s="217"/>
      <c r="X919" s="217">
        <v>-630020</v>
      </c>
      <c r="Y919" s="217"/>
      <c r="Z919" s="217">
        <f>SUM(U919:Y919)</f>
        <v>-630020</v>
      </c>
      <c r="AA919" s="217">
        <f>Z919+T919</f>
        <v>1574216</v>
      </c>
      <c r="AB919" s="217"/>
      <c r="AC919" s="217"/>
      <c r="AD919" s="217"/>
      <c r="AE919" s="217">
        <v>-40679</v>
      </c>
      <c r="AF919" s="217"/>
      <c r="AG919" s="217">
        <f t="shared" si="1020"/>
        <v>-40679</v>
      </c>
      <c r="AH919" s="217">
        <f t="shared" si="1021"/>
        <v>1533537</v>
      </c>
      <c r="AI919" s="217">
        <v>1145620</v>
      </c>
      <c r="AJ919" s="764">
        <f t="shared" si="1022"/>
        <v>74.704425129618656</v>
      </c>
    </row>
    <row r="920" spans="1:36" ht="14">
      <c r="A920" s="40"/>
      <c r="B920" s="40"/>
      <c r="C920" s="124"/>
      <c r="D920" s="124"/>
      <c r="E920" s="124"/>
      <c r="F920" s="41"/>
      <c r="G920" s="41"/>
      <c r="H920" s="66"/>
      <c r="I920" s="66"/>
      <c r="J920" s="126"/>
      <c r="K920" s="204"/>
      <c r="L920" s="205"/>
      <c r="M920" s="205"/>
      <c r="N920" s="205"/>
      <c r="O920" s="205"/>
      <c r="P920" s="205"/>
      <c r="Q920" s="205"/>
      <c r="R920" s="205"/>
      <c r="S920" s="205"/>
      <c r="T920" s="205"/>
      <c r="U920" s="205"/>
      <c r="V920" s="205"/>
      <c r="W920" s="205"/>
      <c r="X920" s="205"/>
      <c r="Y920" s="205"/>
      <c r="Z920" s="205"/>
      <c r="AA920" s="205"/>
      <c r="AB920" s="205"/>
      <c r="AC920" s="205"/>
      <c r="AD920" s="205"/>
      <c r="AE920" s="205"/>
      <c r="AF920" s="205"/>
      <c r="AG920" s="205"/>
      <c r="AH920" s="205"/>
      <c r="AI920" s="205"/>
      <c r="AJ920" s="747"/>
    </row>
    <row r="921" spans="1:36" ht="14">
      <c r="A921" s="40"/>
      <c r="B921" s="40"/>
      <c r="C921" s="124"/>
      <c r="D921" s="124"/>
      <c r="E921" s="124"/>
      <c r="F921" s="491"/>
      <c r="G921" s="42"/>
      <c r="H921" s="129"/>
      <c r="I921" s="166" t="s">
        <v>37</v>
      </c>
      <c r="J921" s="460">
        <f>SUM(J914:J920)</f>
        <v>10000000</v>
      </c>
      <c r="K921" s="461"/>
      <c r="L921" s="460">
        <f>SUM(L914:L920)</f>
        <v>10000000</v>
      </c>
      <c r="M921" s="460">
        <f t="shared" ref="M921:T921" si="1023">SUM(M914:M920)</f>
        <v>3587804</v>
      </c>
      <c r="N921" s="460">
        <f t="shared" si="1023"/>
        <v>0</v>
      </c>
      <c r="O921" s="460">
        <f t="shared" si="1023"/>
        <v>0</v>
      </c>
      <c r="P921" s="460">
        <f t="shared" si="1023"/>
        <v>0</v>
      </c>
      <c r="Q921" s="460">
        <f t="shared" si="1023"/>
        <v>0</v>
      </c>
      <c r="R921" s="460">
        <f t="shared" si="1023"/>
        <v>0</v>
      </c>
      <c r="S921" s="460">
        <f t="shared" si="1023"/>
        <v>3587804</v>
      </c>
      <c r="T921" s="460">
        <f t="shared" si="1023"/>
        <v>13587804</v>
      </c>
      <c r="U921" s="460"/>
      <c r="V921" s="460"/>
      <c r="W921" s="460"/>
      <c r="X921" s="460">
        <f t="shared" ref="X921:AA921" si="1024">SUM(X914:X920)</f>
        <v>-1553131</v>
      </c>
      <c r="Y921" s="460"/>
      <c r="Z921" s="460">
        <f t="shared" si="1024"/>
        <v>-1553131</v>
      </c>
      <c r="AA921" s="460">
        <f t="shared" si="1024"/>
        <v>12034673</v>
      </c>
      <c r="AB921" s="460"/>
      <c r="AC921" s="460"/>
      <c r="AD921" s="460"/>
      <c r="AE921" s="460">
        <f t="shared" ref="AE921" si="1025">SUM(AE914:AE920)</f>
        <v>-7452632</v>
      </c>
      <c r="AF921" s="460"/>
      <c r="AG921" s="460">
        <f t="shared" ref="AG921:AI921" si="1026">SUM(AG914:AG920)</f>
        <v>-7452632</v>
      </c>
      <c r="AH921" s="460">
        <f t="shared" si="1026"/>
        <v>4582041</v>
      </c>
      <c r="AI921" s="460">
        <f t="shared" si="1026"/>
        <v>3906013</v>
      </c>
      <c r="AJ921" s="771">
        <f>AI921/AH921*100</f>
        <v>85.246138129274712</v>
      </c>
    </row>
    <row r="922" spans="1:36" ht="14">
      <c r="A922" s="40"/>
      <c r="B922" s="40"/>
      <c r="C922" s="124"/>
      <c r="D922" s="124"/>
      <c r="E922" s="124"/>
      <c r="F922" s="41"/>
      <c r="G922" s="41"/>
      <c r="H922" s="66"/>
      <c r="I922" s="41"/>
      <c r="J922" s="126"/>
      <c r="K922" s="204"/>
      <c r="L922" s="205"/>
      <c r="M922" s="205"/>
      <c r="N922" s="205"/>
      <c r="O922" s="205"/>
      <c r="P922" s="205"/>
      <c r="Q922" s="205"/>
      <c r="R922" s="205"/>
      <c r="S922" s="205"/>
      <c r="T922" s="205"/>
      <c r="U922" s="205"/>
      <c r="V922" s="205"/>
      <c r="W922" s="205"/>
      <c r="X922" s="205"/>
      <c r="Y922" s="205"/>
      <c r="Z922" s="205"/>
      <c r="AA922" s="205"/>
      <c r="AB922" s="205"/>
      <c r="AC922" s="205"/>
      <c r="AD922" s="205"/>
      <c r="AE922" s="205"/>
      <c r="AF922" s="205"/>
      <c r="AG922" s="205"/>
      <c r="AH922" s="205"/>
      <c r="AI922" s="205"/>
      <c r="AJ922" s="747"/>
    </row>
    <row r="923" spans="1:36" ht="28" customHeight="1">
      <c r="A923" s="40">
        <v>37</v>
      </c>
      <c r="B923" s="40"/>
      <c r="C923" s="124"/>
      <c r="D923" s="124"/>
      <c r="E923" s="124"/>
      <c r="F923" s="942" t="s">
        <v>528</v>
      </c>
      <c r="G923" s="935"/>
      <c r="H923" s="935"/>
      <c r="I923" s="936"/>
      <c r="J923" s="126"/>
      <c r="K923" s="204"/>
      <c r="L923" s="205"/>
      <c r="M923" s="205"/>
      <c r="N923" s="205"/>
      <c r="O923" s="205"/>
      <c r="P923" s="205"/>
      <c r="Q923" s="205"/>
      <c r="R923" s="205"/>
      <c r="S923" s="205"/>
      <c r="T923" s="205"/>
      <c r="U923" s="205"/>
      <c r="V923" s="205"/>
      <c r="W923" s="205"/>
      <c r="X923" s="205"/>
      <c r="Y923" s="205"/>
      <c r="Z923" s="205"/>
      <c r="AA923" s="205"/>
      <c r="AB923" s="205"/>
      <c r="AC923" s="205"/>
      <c r="AD923" s="205"/>
      <c r="AE923" s="205"/>
      <c r="AF923" s="205"/>
      <c r="AG923" s="205"/>
      <c r="AH923" s="205"/>
      <c r="AI923" s="205"/>
      <c r="AJ923" s="747"/>
    </row>
    <row r="924" spans="1:36" ht="14">
      <c r="A924" s="40"/>
      <c r="B924" s="40"/>
      <c r="C924" s="124">
        <v>1</v>
      </c>
      <c r="D924" s="124"/>
      <c r="E924" s="124"/>
      <c r="F924" s="41"/>
      <c r="G924" s="41"/>
      <c r="H924" s="66" t="s">
        <v>35</v>
      </c>
      <c r="I924" s="66"/>
      <c r="J924" s="126"/>
      <c r="K924" s="204"/>
      <c r="L924" s="205"/>
      <c r="M924" s="205"/>
      <c r="N924" s="205"/>
      <c r="O924" s="205"/>
      <c r="P924" s="205"/>
      <c r="Q924" s="205"/>
      <c r="R924" s="205"/>
      <c r="S924" s="205"/>
      <c r="T924" s="205"/>
      <c r="U924" s="205"/>
      <c r="V924" s="205"/>
      <c r="W924" s="205"/>
      <c r="X924" s="205"/>
      <c r="Y924" s="205"/>
      <c r="Z924" s="205"/>
      <c r="AA924" s="205"/>
      <c r="AB924" s="205"/>
      <c r="AC924" s="205"/>
      <c r="AD924" s="205"/>
      <c r="AE924" s="205"/>
      <c r="AF924" s="205"/>
      <c r="AG924" s="205"/>
      <c r="AH924" s="205"/>
      <c r="AI924" s="205"/>
      <c r="AJ924" s="747"/>
    </row>
    <row r="925" spans="1:36" ht="14">
      <c r="A925" s="40"/>
      <c r="B925" s="40"/>
      <c r="C925" s="124"/>
      <c r="D925" s="465">
        <v>5</v>
      </c>
      <c r="E925" s="465" t="s">
        <v>198</v>
      </c>
      <c r="F925" s="125"/>
      <c r="G925" s="481"/>
      <c r="H925" s="125"/>
      <c r="I925" s="66" t="s">
        <v>185</v>
      </c>
      <c r="J925" s="494">
        <v>5000000</v>
      </c>
      <c r="K925" s="208"/>
      <c r="L925" s="217">
        <f>SUM(J925:K925)</f>
        <v>5000000</v>
      </c>
      <c r="M925" s="217"/>
      <c r="N925" s="217"/>
      <c r="O925" s="217"/>
      <c r="P925" s="217"/>
      <c r="Q925" s="217"/>
      <c r="R925" s="217"/>
      <c r="S925" s="217">
        <f t="shared" ref="S925" si="1027">SUM(M925:R925)</f>
        <v>0</v>
      </c>
      <c r="T925" s="217">
        <f t="shared" ref="T925" si="1028">S925+L925</f>
        <v>5000000</v>
      </c>
      <c r="U925" s="217"/>
      <c r="V925" s="217"/>
      <c r="W925" s="217"/>
      <c r="X925" s="217"/>
      <c r="Y925" s="217"/>
      <c r="Z925" s="217">
        <f>SUM(U925:Y925)</f>
        <v>0</v>
      </c>
      <c r="AA925" s="217">
        <f>Z925+T925</f>
        <v>5000000</v>
      </c>
      <c r="AB925" s="217"/>
      <c r="AC925" s="217"/>
      <c r="AD925" s="217"/>
      <c r="AE925" s="217"/>
      <c r="AF925" s="217"/>
      <c r="AG925" s="217">
        <f t="shared" ref="AG925" si="1029">SUM(AB925:AF925)</f>
        <v>0</v>
      </c>
      <c r="AH925" s="217">
        <f t="shared" ref="AH925" si="1030">AG925+AA925</f>
        <v>5000000</v>
      </c>
      <c r="AI925" s="217">
        <v>5000000</v>
      </c>
      <c r="AJ925" s="764">
        <f>AI925/AH925*100</f>
        <v>100</v>
      </c>
    </row>
    <row r="926" spans="1:36" ht="14">
      <c r="A926" s="40"/>
      <c r="B926" s="40"/>
      <c r="C926" s="124"/>
      <c r="D926" s="495"/>
      <c r="E926" s="124"/>
      <c r="F926" s="496"/>
      <c r="G926" s="497"/>
      <c r="H926" s="498"/>
      <c r="I926" s="499"/>
      <c r="J926" s="500"/>
      <c r="K926" s="501"/>
      <c r="L926" s="500"/>
      <c r="M926" s="500"/>
      <c r="N926" s="500"/>
      <c r="O926" s="500"/>
      <c r="P926" s="500"/>
      <c r="Q926" s="500"/>
      <c r="R926" s="500"/>
      <c r="S926" s="500"/>
      <c r="T926" s="500"/>
      <c r="U926" s="500"/>
      <c r="V926" s="500"/>
      <c r="W926" s="500"/>
      <c r="X926" s="500"/>
      <c r="Y926" s="500"/>
      <c r="Z926" s="500"/>
      <c r="AA926" s="500"/>
      <c r="AB926" s="500"/>
      <c r="AC926" s="500"/>
      <c r="AD926" s="500"/>
      <c r="AE926" s="500"/>
      <c r="AF926" s="500"/>
      <c r="AG926" s="500"/>
      <c r="AH926" s="500"/>
      <c r="AI926" s="500"/>
      <c r="AJ926" s="775"/>
    </row>
    <row r="927" spans="1:36" ht="14">
      <c r="A927" s="40"/>
      <c r="B927" s="40"/>
      <c r="C927" s="124"/>
      <c r="D927" s="124"/>
      <c r="E927" s="124"/>
      <c r="F927" s="491"/>
      <c r="G927" s="42"/>
      <c r="H927" s="129"/>
      <c r="I927" s="502" t="s">
        <v>37</v>
      </c>
      <c r="J927" s="503">
        <f>SUM(J925:J926)</f>
        <v>5000000</v>
      </c>
      <c r="K927" s="504"/>
      <c r="L927" s="503">
        <f>SUM(L925:L926)</f>
        <v>5000000</v>
      </c>
      <c r="M927" s="503">
        <f t="shared" ref="M927:T927" si="1031">SUM(M925:M926)</f>
        <v>0</v>
      </c>
      <c r="N927" s="503">
        <f t="shared" si="1031"/>
        <v>0</v>
      </c>
      <c r="O927" s="503">
        <f t="shared" si="1031"/>
        <v>0</v>
      </c>
      <c r="P927" s="503">
        <f t="shared" si="1031"/>
        <v>0</v>
      </c>
      <c r="Q927" s="503">
        <f t="shared" si="1031"/>
        <v>0</v>
      </c>
      <c r="R927" s="503">
        <f t="shared" si="1031"/>
        <v>0</v>
      </c>
      <c r="S927" s="503">
        <f t="shared" si="1031"/>
        <v>0</v>
      </c>
      <c r="T927" s="503">
        <f t="shared" si="1031"/>
        <v>5000000</v>
      </c>
      <c r="U927" s="503"/>
      <c r="V927" s="503"/>
      <c r="W927" s="503"/>
      <c r="X927" s="503"/>
      <c r="Y927" s="503"/>
      <c r="Z927" s="503">
        <f t="shared" ref="Z927:AA927" si="1032">SUM(Z925:Z926)</f>
        <v>0</v>
      </c>
      <c r="AA927" s="503">
        <f t="shared" si="1032"/>
        <v>5000000</v>
      </c>
      <c r="AB927" s="503"/>
      <c r="AC927" s="503"/>
      <c r="AD927" s="503"/>
      <c r="AE927" s="503"/>
      <c r="AF927" s="503"/>
      <c r="AG927" s="503">
        <f t="shared" ref="AG927:AI927" si="1033">SUM(AG925:AG926)</f>
        <v>0</v>
      </c>
      <c r="AH927" s="503">
        <f t="shared" si="1033"/>
        <v>5000000</v>
      </c>
      <c r="AI927" s="503">
        <f t="shared" si="1033"/>
        <v>5000000</v>
      </c>
      <c r="AJ927" s="771">
        <f>AI927/AH927*100</f>
        <v>100</v>
      </c>
    </row>
    <row r="928" spans="1:36" ht="15.75" customHeight="1">
      <c r="A928" s="40"/>
      <c r="B928" s="40"/>
      <c r="C928" s="124"/>
      <c r="D928" s="124"/>
      <c r="E928" s="124"/>
      <c r="F928" s="41"/>
      <c r="G928" s="41"/>
      <c r="H928" s="66"/>
      <c r="I928" s="41"/>
      <c r="J928" s="126"/>
      <c r="K928" s="204"/>
      <c r="L928" s="205"/>
      <c r="M928" s="205"/>
      <c r="N928" s="205"/>
      <c r="O928" s="205"/>
      <c r="P928" s="205"/>
      <c r="Q928" s="205"/>
      <c r="R928" s="205"/>
      <c r="S928" s="205"/>
      <c r="T928" s="205"/>
      <c r="U928" s="205"/>
      <c r="V928" s="205"/>
      <c r="W928" s="205"/>
      <c r="X928" s="205"/>
      <c r="Y928" s="205"/>
      <c r="Z928" s="205"/>
      <c r="AA928" s="205"/>
      <c r="AB928" s="205"/>
      <c r="AC928" s="205"/>
      <c r="AD928" s="205"/>
      <c r="AE928" s="205"/>
      <c r="AF928" s="205"/>
      <c r="AG928" s="205"/>
      <c r="AH928" s="205"/>
      <c r="AI928" s="205"/>
      <c r="AJ928" s="747"/>
    </row>
    <row r="929" spans="1:36" ht="24" customHeight="1">
      <c r="A929" s="40">
        <v>38</v>
      </c>
      <c r="B929" s="40"/>
      <c r="C929" s="124"/>
      <c r="D929" s="124"/>
      <c r="E929" s="124"/>
      <c r="F929" s="942" t="s">
        <v>439</v>
      </c>
      <c r="G929" s="935"/>
      <c r="H929" s="935"/>
      <c r="I929" s="936"/>
      <c r="J929" s="126"/>
      <c r="K929" s="204"/>
      <c r="L929" s="205"/>
      <c r="M929" s="205"/>
      <c r="N929" s="205"/>
      <c r="O929" s="205"/>
      <c r="P929" s="205"/>
      <c r="Q929" s="205"/>
      <c r="R929" s="205"/>
      <c r="S929" s="205"/>
      <c r="T929" s="205"/>
      <c r="U929" s="205"/>
      <c r="V929" s="205"/>
      <c r="W929" s="205"/>
      <c r="X929" s="205"/>
      <c r="Y929" s="205"/>
      <c r="Z929" s="205"/>
      <c r="AA929" s="205"/>
      <c r="AB929" s="205"/>
      <c r="AC929" s="205"/>
      <c r="AD929" s="205"/>
      <c r="AE929" s="205"/>
      <c r="AF929" s="205"/>
      <c r="AG929" s="205"/>
      <c r="AH929" s="205"/>
      <c r="AI929" s="205"/>
      <c r="AJ929" s="747"/>
    </row>
    <row r="930" spans="1:36" ht="14">
      <c r="A930" s="40"/>
      <c r="B930" s="40"/>
      <c r="C930" s="124">
        <v>1</v>
      </c>
      <c r="D930" s="124"/>
      <c r="E930" s="124"/>
      <c r="F930" s="41"/>
      <c r="G930" s="41"/>
      <c r="H930" s="66" t="s">
        <v>35</v>
      </c>
      <c r="I930" s="125"/>
      <c r="J930" s="128"/>
      <c r="K930" s="208"/>
      <c r="L930" s="217"/>
      <c r="M930" s="217"/>
      <c r="N930" s="217"/>
      <c r="O930" s="217"/>
      <c r="P930" s="217"/>
      <c r="Q930" s="217"/>
      <c r="R930" s="217"/>
      <c r="S930" s="217"/>
      <c r="T930" s="217"/>
      <c r="U930" s="217"/>
      <c r="V930" s="217"/>
      <c r="W930" s="217"/>
      <c r="X930" s="217"/>
      <c r="Y930" s="217"/>
      <c r="Z930" s="217"/>
      <c r="AA930" s="217"/>
      <c r="AB930" s="217"/>
      <c r="AC930" s="217"/>
      <c r="AD930" s="217"/>
      <c r="AE930" s="217"/>
      <c r="AF930" s="217"/>
      <c r="AG930" s="217"/>
      <c r="AH930" s="217"/>
      <c r="AI930" s="217"/>
      <c r="AJ930" s="764"/>
    </row>
    <row r="931" spans="1:36" ht="14">
      <c r="A931" s="40"/>
      <c r="B931" s="40"/>
      <c r="C931" s="124"/>
      <c r="D931" s="465">
        <v>1</v>
      </c>
      <c r="E931" s="465" t="s">
        <v>198</v>
      </c>
      <c r="F931" s="125"/>
      <c r="G931" s="481"/>
      <c r="H931" s="125"/>
      <c r="I931" s="66" t="s">
        <v>180</v>
      </c>
      <c r="J931" s="128">
        <v>7000000</v>
      </c>
      <c r="K931" s="208"/>
      <c r="L931" s="217">
        <f>SUM(J931:K931)</f>
        <v>7000000</v>
      </c>
      <c r="M931" s="217"/>
      <c r="N931" s="217"/>
      <c r="O931" s="217">
        <v>-6890003</v>
      </c>
      <c r="P931" s="217"/>
      <c r="Q931" s="217"/>
      <c r="R931" s="217"/>
      <c r="S931" s="217">
        <f t="shared" ref="S931:S933" si="1034">SUM(M931:R931)</f>
        <v>-6890003</v>
      </c>
      <c r="T931" s="217">
        <f t="shared" ref="T931:T933" si="1035">S931+L931</f>
        <v>109997</v>
      </c>
      <c r="U931" s="217"/>
      <c r="V931" s="217"/>
      <c r="W931" s="217"/>
      <c r="X931" s="217"/>
      <c r="Y931" s="217"/>
      <c r="Z931" s="217">
        <f>SUM(U931:Y931)</f>
        <v>0</v>
      </c>
      <c r="AA931" s="217">
        <f>Z931+T931</f>
        <v>109997</v>
      </c>
      <c r="AB931" s="217"/>
      <c r="AC931" s="217"/>
      <c r="AD931" s="217"/>
      <c r="AE931" s="217"/>
      <c r="AF931" s="217"/>
      <c r="AG931" s="217">
        <f t="shared" ref="AG931:AG933" si="1036">SUM(AB931:AF931)</f>
        <v>0</v>
      </c>
      <c r="AH931" s="217">
        <f t="shared" ref="AH931:AH933" si="1037">AG931+AA931</f>
        <v>109997</v>
      </c>
      <c r="AI931" s="217">
        <v>109997</v>
      </c>
      <c r="AJ931" s="764">
        <f t="shared" ref="AJ931:AJ932" si="1038">AI931/AH931*100</f>
        <v>100</v>
      </c>
    </row>
    <row r="932" spans="1:36" ht="14">
      <c r="A932" s="40"/>
      <c r="B932" s="40"/>
      <c r="C932" s="124"/>
      <c r="D932" s="465">
        <v>2</v>
      </c>
      <c r="E932" s="465" t="s">
        <v>198</v>
      </c>
      <c r="F932" s="125"/>
      <c r="G932" s="481"/>
      <c r="H932" s="125"/>
      <c r="I932" s="66" t="s">
        <v>182</v>
      </c>
      <c r="J932" s="128">
        <v>1228500</v>
      </c>
      <c r="K932" s="208"/>
      <c r="L932" s="217">
        <f>SUM(J932:K932)</f>
        <v>1228500</v>
      </c>
      <c r="M932" s="217">
        <v>75747</v>
      </c>
      <c r="N932" s="217"/>
      <c r="O932" s="217">
        <v>-1173037</v>
      </c>
      <c r="P932" s="217"/>
      <c r="Q932" s="217"/>
      <c r="R932" s="217"/>
      <c r="S932" s="217">
        <f t="shared" si="1034"/>
        <v>-1097290</v>
      </c>
      <c r="T932" s="217">
        <f t="shared" si="1035"/>
        <v>131210</v>
      </c>
      <c r="U932" s="217"/>
      <c r="V932" s="217"/>
      <c r="W932" s="217"/>
      <c r="X932" s="217"/>
      <c r="Y932" s="217"/>
      <c r="Z932" s="217">
        <f>SUM(U932:Y932)</f>
        <v>0</v>
      </c>
      <c r="AA932" s="217">
        <f>Z932+T932</f>
        <v>131210</v>
      </c>
      <c r="AB932" s="217"/>
      <c r="AC932" s="217"/>
      <c r="AD932" s="217"/>
      <c r="AE932" s="217"/>
      <c r="AF932" s="217"/>
      <c r="AG932" s="217">
        <f t="shared" si="1036"/>
        <v>0</v>
      </c>
      <c r="AH932" s="217">
        <f t="shared" si="1037"/>
        <v>131210</v>
      </c>
      <c r="AI932" s="217">
        <v>100881</v>
      </c>
      <c r="AJ932" s="764">
        <f t="shared" si="1038"/>
        <v>76.885145949241675</v>
      </c>
    </row>
    <row r="933" spans="1:36" ht="14">
      <c r="A933" s="40"/>
      <c r="B933" s="40"/>
      <c r="C933" s="124"/>
      <c r="D933" s="465">
        <v>3</v>
      </c>
      <c r="E933" s="465" t="s">
        <v>198</v>
      </c>
      <c r="F933" s="125"/>
      <c r="G933" s="481"/>
      <c r="H933" s="125"/>
      <c r="I933" s="66" t="s">
        <v>116</v>
      </c>
      <c r="J933" s="128">
        <v>6771500</v>
      </c>
      <c r="K933" s="208"/>
      <c r="L933" s="217">
        <f>SUM(J933:K933)</f>
        <v>6771500</v>
      </c>
      <c r="M933" s="217">
        <v>3442376</v>
      </c>
      <c r="N933" s="217"/>
      <c r="O933" s="217">
        <v>-2536960</v>
      </c>
      <c r="P933" s="217"/>
      <c r="Q933" s="217">
        <v>-2135000</v>
      </c>
      <c r="R933" s="217"/>
      <c r="S933" s="217">
        <f t="shared" si="1034"/>
        <v>-1229584</v>
      </c>
      <c r="T933" s="217">
        <f t="shared" si="1035"/>
        <v>5541916</v>
      </c>
      <c r="U933" s="217"/>
      <c r="V933" s="217"/>
      <c r="W933" s="217"/>
      <c r="X933" s="217"/>
      <c r="Y933" s="217"/>
      <c r="Z933" s="217">
        <f>SUM(U933:Y933)</f>
        <v>0</v>
      </c>
      <c r="AA933" s="217">
        <f>Z933+T933</f>
        <v>5541916</v>
      </c>
      <c r="AB933" s="217"/>
      <c r="AC933" s="217"/>
      <c r="AD933" s="217"/>
      <c r="AE933" s="217">
        <v>-664210</v>
      </c>
      <c r="AF933" s="217"/>
      <c r="AG933" s="217">
        <f t="shared" si="1036"/>
        <v>-664210</v>
      </c>
      <c r="AH933" s="217">
        <f t="shared" si="1037"/>
        <v>4877706</v>
      </c>
      <c r="AI933" s="217">
        <v>3922713</v>
      </c>
      <c r="AJ933" s="764">
        <f>AI933/AH933*100</f>
        <v>80.421267702481458</v>
      </c>
    </row>
    <row r="934" spans="1:36" ht="14">
      <c r="A934" s="40"/>
      <c r="B934" s="40"/>
      <c r="C934" s="124"/>
      <c r="D934" s="124"/>
      <c r="E934" s="124"/>
      <c r="F934" s="41"/>
      <c r="G934" s="41"/>
      <c r="H934" s="66"/>
      <c r="I934" s="66"/>
      <c r="J934" s="126"/>
      <c r="K934" s="204"/>
      <c r="L934" s="205"/>
      <c r="M934" s="205"/>
      <c r="N934" s="205"/>
      <c r="O934" s="205"/>
      <c r="P934" s="205"/>
      <c r="Q934" s="205"/>
      <c r="R934" s="205"/>
      <c r="S934" s="205"/>
      <c r="T934" s="205"/>
      <c r="U934" s="205"/>
      <c r="V934" s="205"/>
      <c r="W934" s="205"/>
      <c r="X934" s="205"/>
      <c r="Y934" s="205"/>
      <c r="Z934" s="205"/>
      <c r="AA934" s="205"/>
      <c r="AB934" s="205"/>
      <c r="AC934" s="205"/>
      <c r="AD934" s="205"/>
      <c r="AE934" s="205"/>
      <c r="AF934" s="205"/>
      <c r="AG934" s="205"/>
      <c r="AH934" s="205"/>
      <c r="AI934" s="205"/>
      <c r="AJ934" s="747"/>
    </row>
    <row r="935" spans="1:36" ht="14">
      <c r="A935" s="40"/>
      <c r="B935" s="40"/>
      <c r="C935" s="124"/>
      <c r="D935" s="124"/>
      <c r="E935" s="124"/>
      <c r="F935" s="491"/>
      <c r="G935" s="42"/>
      <c r="H935" s="129"/>
      <c r="I935" s="166" t="s">
        <v>37</v>
      </c>
      <c r="J935" s="460">
        <f>SUM(J929:J934)</f>
        <v>15000000</v>
      </c>
      <c r="K935" s="461"/>
      <c r="L935" s="460">
        <f>SUM(L929:L934)</f>
        <v>15000000</v>
      </c>
      <c r="M935" s="460">
        <f t="shared" ref="M935:T935" si="1039">SUM(M929:M934)</f>
        <v>3518123</v>
      </c>
      <c r="N935" s="460">
        <f t="shared" si="1039"/>
        <v>0</v>
      </c>
      <c r="O935" s="460">
        <f t="shared" si="1039"/>
        <v>-10600000</v>
      </c>
      <c r="P935" s="460">
        <f t="shared" si="1039"/>
        <v>0</v>
      </c>
      <c r="Q935" s="460">
        <f t="shared" si="1039"/>
        <v>-2135000</v>
      </c>
      <c r="R935" s="460">
        <f t="shared" si="1039"/>
        <v>0</v>
      </c>
      <c r="S935" s="460">
        <f t="shared" si="1039"/>
        <v>-9216877</v>
      </c>
      <c r="T935" s="460">
        <f t="shared" si="1039"/>
        <v>5783123</v>
      </c>
      <c r="U935" s="460"/>
      <c r="V935" s="460"/>
      <c r="W935" s="460"/>
      <c r="X935" s="460"/>
      <c r="Y935" s="460"/>
      <c r="Z935" s="460">
        <f t="shared" ref="Z935:AA935" si="1040">SUM(Z929:Z934)</f>
        <v>0</v>
      </c>
      <c r="AA935" s="460">
        <f t="shared" si="1040"/>
        <v>5783123</v>
      </c>
      <c r="AB935" s="460"/>
      <c r="AC935" s="460"/>
      <c r="AD935" s="460"/>
      <c r="AE935" s="460">
        <f t="shared" ref="AE935:AI935" si="1041">SUM(AE929:AE934)</f>
        <v>-664210</v>
      </c>
      <c r="AF935" s="460"/>
      <c r="AG935" s="460">
        <f t="shared" si="1041"/>
        <v>-664210</v>
      </c>
      <c r="AH935" s="460">
        <f t="shared" si="1041"/>
        <v>5118913</v>
      </c>
      <c r="AI935" s="460">
        <f t="shared" si="1041"/>
        <v>4133591</v>
      </c>
      <c r="AJ935" s="771">
        <f>AI935/AH935*100</f>
        <v>80.751343107413618</v>
      </c>
    </row>
    <row r="936" spans="1:36" ht="14">
      <c r="A936" s="40"/>
      <c r="B936" s="40"/>
      <c r="C936" s="124"/>
      <c r="D936" s="124"/>
      <c r="E936" s="124"/>
      <c r="F936" s="41"/>
      <c r="G936" s="41"/>
      <c r="H936" s="66"/>
      <c r="I936" s="41"/>
      <c r="J936" s="126"/>
      <c r="K936" s="204"/>
      <c r="L936" s="205"/>
      <c r="M936" s="205"/>
      <c r="N936" s="205"/>
      <c r="O936" s="205"/>
      <c r="P936" s="205"/>
      <c r="Q936" s="205"/>
      <c r="R936" s="205"/>
      <c r="S936" s="205"/>
      <c r="T936" s="205"/>
      <c r="U936" s="205"/>
      <c r="V936" s="205"/>
      <c r="W936" s="205"/>
      <c r="X936" s="205"/>
      <c r="Y936" s="205"/>
      <c r="Z936" s="205"/>
      <c r="AA936" s="205"/>
      <c r="AB936" s="205"/>
      <c r="AC936" s="205"/>
      <c r="AD936" s="205"/>
      <c r="AE936" s="205"/>
      <c r="AF936" s="205"/>
      <c r="AG936" s="205"/>
      <c r="AH936" s="205"/>
      <c r="AI936" s="205"/>
      <c r="AJ936" s="747"/>
    </row>
    <row r="937" spans="1:36" ht="14">
      <c r="A937" s="40">
        <v>39</v>
      </c>
      <c r="B937" s="40"/>
      <c r="C937" s="124"/>
      <c r="D937" s="124"/>
      <c r="E937" s="124"/>
      <c r="F937" s="41" t="s">
        <v>470</v>
      </c>
      <c r="G937" s="41"/>
      <c r="H937" s="66"/>
      <c r="I937" s="66"/>
      <c r="J937" s="126"/>
      <c r="K937" s="204"/>
      <c r="L937" s="205"/>
      <c r="M937" s="205"/>
      <c r="N937" s="205"/>
      <c r="O937" s="205"/>
      <c r="P937" s="205"/>
      <c r="Q937" s="205"/>
      <c r="R937" s="205"/>
      <c r="S937" s="205"/>
      <c r="T937" s="205"/>
      <c r="U937" s="205"/>
      <c r="V937" s="205"/>
      <c r="W937" s="205"/>
      <c r="X937" s="205"/>
      <c r="Y937" s="205"/>
      <c r="Z937" s="205"/>
      <c r="AA937" s="205"/>
      <c r="AB937" s="205"/>
      <c r="AC937" s="205"/>
      <c r="AD937" s="205"/>
      <c r="AE937" s="205"/>
      <c r="AF937" s="205"/>
      <c r="AG937" s="205"/>
      <c r="AH937" s="205"/>
      <c r="AI937" s="205"/>
      <c r="AJ937" s="747"/>
    </row>
    <row r="938" spans="1:36" ht="14">
      <c r="A938" s="40"/>
      <c r="B938" s="40"/>
      <c r="C938" s="124">
        <v>1</v>
      </c>
      <c r="D938" s="124"/>
      <c r="E938" s="124"/>
      <c r="F938" s="41"/>
      <c r="G938" s="41"/>
      <c r="H938" s="66" t="s">
        <v>35</v>
      </c>
      <c r="I938" s="125"/>
      <c r="J938" s="128"/>
      <c r="K938" s="208"/>
      <c r="L938" s="217"/>
      <c r="M938" s="217"/>
      <c r="N938" s="217"/>
      <c r="O938" s="217"/>
      <c r="P938" s="217"/>
      <c r="Q938" s="217"/>
      <c r="R938" s="217"/>
      <c r="S938" s="217"/>
      <c r="T938" s="217"/>
      <c r="U938" s="217"/>
      <c r="V938" s="217"/>
      <c r="W938" s="217"/>
      <c r="X938" s="217"/>
      <c r="Y938" s="217"/>
      <c r="Z938" s="217"/>
      <c r="AA938" s="217"/>
      <c r="AB938" s="217"/>
      <c r="AC938" s="217"/>
      <c r="AD938" s="217"/>
      <c r="AE938" s="217"/>
      <c r="AF938" s="217"/>
      <c r="AG938" s="217"/>
      <c r="AH938" s="217"/>
      <c r="AI938" s="217"/>
      <c r="AJ938" s="764"/>
    </row>
    <row r="939" spans="1:36" ht="14">
      <c r="A939" s="40"/>
      <c r="B939" s="40"/>
      <c r="C939" s="124"/>
      <c r="D939" s="465">
        <v>1</v>
      </c>
      <c r="E939" s="465" t="s">
        <v>198</v>
      </c>
      <c r="F939" s="125"/>
      <c r="G939" s="481"/>
      <c r="H939" s="125"/>
      <c r="I939" s="66" t="s">
        <v>180</v>
      </c>
      <c r="J939" s="128">
        <v>3346457</v>
      </c>
      <c r="K939" s="208"/>
      <c r="L939" s="217">
        <f>SUM(J939:K939)</f>
        <v>3346457</v>
      </c>
      <c r="M939" s="217">
        <v>642520</v>
      </c>
      <c r="N939" s="217"/>
      <c r="O939" s="217"/>
      <c r="P939" s="217"/>
      <c r="Q939" s="217">
        <v>-290000</v>
      </c>
      <c r="R939" s="217"/>
      <c r="S939" s="217">
        <f t="shared" ref="S939:S941" si="1042">SUM(M939:R939)</f>
        <v>352520</v>
      </c>
      <c r="T939" s="217">
        <f t="shared" ref="T939:T941" si="1043">S939+L939</f>
        <v>3698977</v>
      </c>
      <c r="U939" s="217"/>
      <c r="V939" s="217"/>
      <c r="W939" s="217"/>
      <c r="X939" s="217"/>
      <c r="Y939" s="217"/>
      <c r="Z939" s="217">
        <f>SUM(U939:Y939)</f>
        <v>0</v>
      </c>
      <c r="AA939" s="217">
        <f>Z939+T939</f>
        <v>3698977</v>
      </c>
      <c r="AB939" s="217"/>
      <c r="AC939" s="217"/>
      <c r="AD939" s="217"/>
      <c r="AE939" s="217"/>
      <c r="AF939" s="217"/>
      <c r="AG939" s="217">
        <f t="shared" ref="AG939:AG941" si="1044">SUM(AB939:AF939)</f>
        <v>0</v>
      </c>
      <c r="AH939" s="217">
        <f t="shared" ref="AH939:AH941" si="1045">AG939+AA939</f>
        <v>3698977</v>
      </c>
      <c r="AI939" s="217">
        <v>2309521</v>
      </c>
      <c r="AJ939" s="764">
        <f t="shared" ref="AJ939:AJ941" si="1046">AI939/AH939*100</f>
        <v>62.436749403956824</v>
      </c>
    </row>
    <row r="940" spans="1:36" ht="14">
      <c r="A940" s="40"/>
      <c r="B940" s="40"/>
      <c r="C940" s="124"/>
      <c r="D940" s="465">
        <v>2</v>
      </c>
      <c r="E940" s="465" t="s">
        <v>198</v>
      </c>
      <c r="F940" s="125"/>
      <c r="G940" s="481"/>
      <c r="H940" s="125"/>
      <c r="I940" s="66" t="s">
        <v>182</v>
      </c>
      <c r="J940" s="128">
        <v>1730175</v>
      </c>
      <c r="K940" s="208"/>
      <c r="L940" s="217">
        <f>SUM(J940:K940)</f>
        <v>1730175</v>
      </c>
      <c r="M940" s="217">
        <v>522118</v>
      </c>
      <c r="N940" s="217"/>
      <c r="O940" s="217"/>
      <c r="P940" s="217"/>
      <c r="Q940" s="217">
        <v>-152897</v>
      </c>
      <c r="R940" s="217"/>
      <c r="S940" s="217">
        <f t="shared" si="1042"/>
        <v>369221</v>
      </c>
      <c r="T940" s="217">
        <f t="shared" si="1043"/>
        <v>2099396</v>
      </c>
      <c r="U940" s="217"/>
      <c r="V940" s="217"/>
      <c r="W940" s="217"/>
      <c r="X940" s="217"/>
      <c r="Y940" s="217"/>
      <c r="Z940" s="217">
        <f>SUM(U940:Y940)</f>
        <v>0</v>
      </c>
      <c r="AA940" s="217">
        <f>Z940+T940</f>
        <v>2099396</v>
      </c>
      <c r="AB940" s="217"/>
      <c r="AC940" s="217"/>
      <c r="AD940" s="217"/>
      <c r="AE940" s="217"/>
      <c r="AF940" s="217"/>
      <c r="AG940" s="217">
        <f t="shared" si="1044"/>
        <v>0</v>
      </c>
      <c r="AH940" s="217">
        <f t="shared" si="1045"/>
        <v>2099396</v>
      </c>
      <c r="AI940" s="217">
        <v>1069329</v>
      </c>
      <c r="AJ940" s="764">
        <f t="shared" si="1046"/>
        <v>50.935078470188564</v>
      </c>
    </row>
    <row r="941" spans="1:36" ht="14">
      <c r="A941" s="160"/>
      <c r="B941" s="160"/>
      <c r="C941" s="161"/>
      <c r="D941" s="505">
        <v>3</v>
      </c>
      <c r="E941" s="505" t="s">
        <v>198</v>
      </c>
      <c r="F941" s="125"/>
      <c r="G941" s="481"/>
      <c r="H941" s="125"/>
      <c r="I941" s="66" t="s">
        <v>116</v>
      </c>
      <c r="J941" s="217">
        <v>903543</v>
      </c>
      <c r="K941" s="208"/>
      <c r="L941" s="217">
        <f>SUM(J941:K941)</f>
        <v>903543</v>
      </c>
      <c r="M941" s="217">
        <v>173480</v>
      </c>
      <c r="N941" s="217"/>
      <c r="O941" s="217"/>
      <c r="P941" s="217"/>
      <c r="Q941" s="217">
        <v>442897</v>
      </c>
      <c r="R941" s="217"/>
      <c r="S941" s="217">
        <f t="shared" si="1042"/>
        <v>616377</v>
      </c>
      <c r="T941" s="217">
        <f t="shared" si="1043"/>
        <v>1519920</v>
      </c>
      <c r="U941" s="217"/>
      <c r="V941" s="217"/>
      <c r="W941" s="217"/>
      <c r="X941" s="217"/>
      <c r="Y941" s="217"/>
      <c r="Z941" s="217">
        <f>SUM(U941:Y941)</f>
        <v>0</v>
      </c>
      <c r="AA941" s="217">
        <f>Z941+T941</f>
        <v>1519920</v>
      </c>
      <c r="AB941" s="217"/>
      <c r="AC941" s="217"/>
      <c r="AD941" s="217"/>
      <c r="AE941" s="217"/>
      <c r="AF941" s="217"/>
      <c r="AG941" s="217">
        <f t="shared" si="1044"/>
        <v>0</v>
      </c>
      <c r="AH941" s="217">
        <f t="shared" si="1045"/>
        <v>1519920</v>
      </c>
      <c r="AI941" s="217">
        <v>1190585</v>
      </c>
      <c r="AJ941" s="764">
        <f t="shared" si="1046"/>
        <v>78.332083267540398</v>
      </c>
    </row>
    <row r="942" spans="1:36" ht="6.5" customHeight="1">
      <c r="A942" s="40"/>
      <c r="B942" s="40"/>
      <c r="C942" s="124"/>
      <c r="D942" s="124"/>
      <c r="E942" s="124"/>
      <c r="F942" s="41"/>
      <c r="G942" s="41"/>
      <c r="H942" s="66"/>
      <c r="I942" s="66"/>
      <c r="J942" s="126"/>
      <c r="K942" s="204"/>
      <c r="L942" s="205"/>
      <c r="M942" s="205"/>
      <c r="N942" s="205"/>
      <c r="O942" s="205"/>
      <c r="P942" s="205"/>
      <c r="Q942" s="205"/>
      <c r="R942" s="205"/>
      <c r="S942" s="205"/>
      <c r="T942" s="205"/>
      <c r="U942" s="205"/>
      <c r="V942" s="205"/>
      <c r="W942" s="205"/>
      <c r="X942" s="205"/>
      <c r="Y942" s="205"/>
      <c r="Z942" s="205"/>
      <c r="AA942" s="205"/>
      <c r="AB942" s="205"/>
      <c r="AC942" s="205"/>
      <c r="AD942" s="205"/>
      <c r="AE942" s="205"/>
      <c r="AF942" s="205"/>
      <c r="AG942" s="205"/>
      <c r="AH942" s="205"/>
      <c r="AI942" s="205"/>
      <c r="AJ942" s="747"/>
    </row>
    <row r="943" spans="1:36" ht="15.75" customHeight="1">
      <c r="A943" s="40"/>
      <c r="B943" s="40"/>
      <c r="C943" s="124"/>
      <c r="D943" s="124"/>
      <c r="E943" s="124"/>
      <c r="F943" s="491"/>
      <c r="G943" s="42"/>
      <c r="H943" s="129"/>
      <c r="I943" s="166" t="s">
        <v>37</v>
      </c>
      <c r="J943" s="460">
        <f>SUM(J936:J942)</f>
        <v>5980175</v>
      </c>
      <c r="K943" s="461"/>
      <c r="L943" s="460">
        <f>SUM(L936:L942)</f>
        <v>5980175</v>
      </c>
      <c r="M943" s="460">
        <f t="shared" ref="M943:T943" si="1047">SUM(M936:M942)</f>
        <v>1338118</v>
      </c>
      <c r="N943" s="460">
        <f t="shared" si="1047"/>
        <v>0</v>
      </c>
      <c r="O943" s="460">
        <f t="shared" si="1047"/>
        <v>0</v>
      </c>
      <c r="P943" s="460">
        <f t="shared" si="1047"/>
        <v>0</v>
      </c>
      <c r="Q943" s="460">
        <f t="shared" si="1047"/>
        <v>0</v>
      </c>
      <c r="R943" s="460">
        <f t="shared" si="1047"/>
        <v>0</v>
      </c>
      <c r="S943" s="460">
        <f t="shared" si="1047"/>
        <v>1338118</v>
      </c>
      <c r="T943" s="460">
        <f t="shared" si="1047"/>
        <v>7318293</v>
      </c>
      <c r="U943" s="460"/>
      <c r="V943" s="460"/>
      <c r="W943" s="460"/>
      <c r="X943" s="460"/>
      <c r="Y943" s="460"/>
      <c r="Z943" s="460">
        <f t="shared" ref="Z943:AA943" si="1048">SUM(Z936:Z942)</f>
        <v>0</v>
      </c>
      <c r="AA943" s="460">
        <f t="shared" si="1048"/>
        <v>7318293</v>
      </c>
      <c r="AB943" s="460"/>
      <c r="AC943" s="460"/>
      <c r="AD943" s="460"/>
      <c r="AE943" s="460"/>
      <c r="AF943" s="460"/>
      <c r="AG943" s="460">
        <f t="shared" ref="AG943:AI943" si="1049">SUM(AG936:AG942)</f>
        <v>0</v>
      </c>
      <c r="AH943" s="460">
        <f t="shared" si="1049"/>
        <v>7318293</v>
      </c>
      <c r="AI943" s="460">
        <f t="shared" si="1049"/>
        <v>4569435</v>
      </c>
      <c r="AJ943" s="771">
        <f>AI943/AH943*100</f>
        <v>62.438535871684827</v>
      </c>
    </row>
    <row r="944" spans="1:36" ht="15.75" customHeight="1">
      <c r="A944" s="40"/>
      <c r="B944" s="40"/>
      <c r="C944" s="124"/>
      <c r="D944" s="124"/>
      <c r="E944" s="124"/>
      <c r="F944" s="41"/>
      <c r="G944" s="41"/>
      <c r="H944" s="66"/>
      <c r="I944" s="41"/>
      <c r="J944" s="126"/>
      <c r="K944" s="204"/>
      <c r="L944" s="205"/>
      <c r="M944" s="205"/>
      <c r="N944" s="205"/>
      <c r="O944" s="205"/>
      <c r="P944" s="205"/>
      <c r="Q944" s="205"/>
      <c r="R944" s="205"/>
      <c r="S944" s="205"/>
      <c r="T944" s="205"/>
      <c r="U944" s="205"/>
      <c r="V944" s="205"/>
      <c r="W944" s="205"/>
      <c r="X944" s="205"/>
      <c r="Y944" s="205"/>
      <c r="Z944" s="205"/>
      <c r="AA944" s="205"/>
      <c r="AB944" s="205"/>
      <c r="AC944" s="205"/>
      <c r="AD944" s="205"/>
      <c r="AE944" s="205"/>
      <c r="AF944" s="205"/>
      <c r="AG944" s="205"/>
      <c r="AH944" s="205"/>
      <c r="AI944" s="205"/>
      <c r="AJ944" s="747"/>
    </row>
    <row r="945" spans="1:36" ht="15.75" customHeight="1">
      <c r="A945" s="40">
        <v>40</v>
      </c>
      <c r="B945" s="40"/>
      <c r="C945" s="124"/>
      <c r="D945" s="124"/>
      <c r="E945" s="124"/>
      <c r="F945" s="41" t="s">
        <v>118</v>
      </c>
      <c r="G945" s="41"/>
      <c r="H945" s="66"/>
      <c r="I945" s="66"/>
      <c r="J945" s="126"/>
      <c r="K945" s="204"/>
      <c r="L945" s="205"/>
      <c r="M945" s="205"/>
      <c r="N945" s="205"/>
      <c r="O945" s="205"/>
      <c r="P945" s="205"/>
      <c r="Q945" s="205"/>
      <c r="R945" s="205"/>
      <c r="S945" s="205"/>
      <c r="T945" s="205"/>
      <c r="U945" s="205"/>
      <c r="V945" s="205"/>
      <c r="W945" s="205"/>
      <c r="X945" s="205"/>
      <c r="Y945" s="205"/>
      <c r="Z945" s="205"/>
      <c r="AA945" s="205"/>
      <c r="AB945" s="205"/>
      <c r="AC945" s="205"/>
      <c r="AD945" s="205"/>
      <c r="AE945" s="205"/>
      <c r="AF945" s="205"/>
      <c r="AG945" s="205"/>
      <c r="AH945" s="205"/>
      <c r="AI945" s="205"/>
      <c r="AJ945" s="747"/>
    </row>
    <row r="946" spans="1:36" ht="15.75" customHeight="1">
      <c r="A946" s="40"/>
      <c r="B946" s="40"/>
      <c r="C946" s="124">
        <v>1</v>
      </c>
      <c r="D946" s="124"/>
      <c r="E946" s="124"/>
      <c r="F946" s="41"/>
      <c r="G946" s="41"/>
      <c r="H946" s="66" t="s">
        <v>35</v>
      </c>
      <c r="I946" s="125"/>
      <c r="J946" s="128"/>
      <c r="K946" s="208"/>
      <c r="L946" s="217"/>
      <c r="M946" s="217"/>
      <c r="N946" s="217"/>
      <c r="O946" s="217"/>
      <c r="P946" s="217"/>
      <c r="Q946" s="217"/>
      <c r="R946" s="217"/>
      <c r="S946" s="217"/>
      <c r="T946" s="217"/>
      <c r="U946" s="217"/>
      <c r="V946" s="217"/>
      <c r="W946" s="217"/>
      <c r="X946" s="217"/>
      <c r="Y946" s="217"/>
      <c r="Z946" s="217"/>
      <c r="AA946" s="217"/>
      <c r="AB946" s="217"/>
      <c r="AC946" s="217"/>
      <c r="AD946" s="217"/>
      <c r="AE946" s="217"/>
      <c r="AF946" s="217"/>
      <c r="AG946" s="217"/>
      <c r="AH946" s="217"/>
      <c r="AI946" s="217"/>
      <c r="AJ946" s="764"/>
    </row>
    <row r="947" spans="1:36" ht="15.75" customHeight="1">
      <c r="A947" s="40"/>
      <c r="B947" s="40"/>
      <c r="C947" s="124"/>
      <c r="D947" s="465">
        <v>1</v>
      </c>
      <c r="E947" s="465" t="s">
        <v>198</v>
      </c>
      <c r="F947" s="125"/>
      <c r="G947" s="481"/>
      <c r="H947" s="125"/>
      <c r="I947" s="66" t="s">
        <v>180</v>
      </c>
      <c r="J947" s="128"/>
      <c r="K947" s="208"/>
      <c r="L947" s="217"/>
      <c r="M947" s="505"/>
      <c r="N947" s="505"/>
      <c r="O947" s="505"/>
      <c r="P947" s="505"/>
      <c r="Q947" s="505"/>
      <c r="R947" s="505"/>
      <c r="S947" s="217">
        <f t="shared" ref="S947:S949" si="1050">SUM(M947:R947)</f>
        <v>0</v>
      </c>
      <c r="T947" s="217">
        <f t="shared" ref="T947:T949" si="1051">S947+L947</f>
        <v>0</v>
      </c>
      <c r="U947" s="505"/>
      <c r="V947" s="217">
        <v>34128</v>
      </c>
      <c r="W947" s="505"/>
      <c r="X947" s="505"/>
      <c r="Y947" s="505"/>
      <c r="Z947" s="217">
        <f>SUM(U947:Y947)</f>
        <v>34128</v>
      </c>
      <c r="AA947" s="217">
        <f>Z947+T947</f>
        <v>34128</v>
      </c>
      <c r="AB947" s="505"/>
      <c r="AC947" s="217"/>
      <c r="AD947" s="505"/>
      <c r="AE947" s="217">
        <v>85414</v>
      </c>
      <c r="AF947" s="505"/>
      <c r="AG947" s="217">
        <f t="shared" ref="AG947:AG949" si="1052">SUM(AB947:AF947)</f>
        <v>85414</v>
      </c>
      <c r="AH947" s="217">
        <f t="shared" ref="AH947:AH949" si="1053">AG947+AA947</f>
        <v>119542</v>
      </c>
      <c r="AI947" s="217">
        <v>119542</v>
      </c>
      <c r="AJ947" s="764">
        <f t="shared" ref="AJ947:AJ949" si="1054">AI947/AH947*100</f>
        <v>100</v>
      </c>
    </row>
    <row r="948" spans="1:36" ht="15.75" customHeight="1">
      <c r="A948" s="40"/>
      <c r="B948" s="40"/>
      <c r="C948" s="124"/>
      <c r="D948" s="465">
        <v>2</v>
      </c>
      <c r="E948" s="465" t="s">
        <v>198</v>
      </c>
      <c r="F948" s="125"/>
      <c r="G948" s="481"/>
      <c r="H948" s="125"/>
      <c r="I948" s="66" t="s">
        <v>182</v>
      </c>
      <c r="J948" s="128"/>
      <c r="K948" s="208"/>
      <c r="L948" s="217"/>
      <c r="M948" s="217">
        <v>25917</v>
      </c>
      <c r="N948" s="217"/>
      <c r="O948" s="217"/>
      <c r="P948" s="217"/>
      <c r="Q948" s="217"/>
      <c r="R948" s="217"/>
      <c r="S948" s="217">
        <f t="shared" si="1050"/>
        <v>25917</v>
      </c>
      <c r="T948" s="217">
        <f t="shared" si="1051"/>
        <v>25917</v>
      </c>
      <c r="U948" s="217"/>
      <c r="V948" s="217"/>
      <c r="W948" s="217"/>
      <c r="X948" s="217">
        <v>7020</v>
      </c>
      <c r="Y948" s="217"/>
      <c r="Z948" s="217">
        <f>SUM(U948:Y948)</f>
        <v>7020</v>
      </c>
      <c r="AA948" s="217">
        <f>Z948+T948</f>
        <v>32937</v>
      </c>
      <c r="AB948" s="217"/>
      <c r="AC948" s="217"/>
      <c r="AD948" s="217"/>
      <c r="AE948" s="217">
        <v>37178</v>
      </c>
      <c r="AF948" s="217"/>
      <c r="AG948" s="217">
        <f t="shared" si="1052"/>
        <v>37178</v>
      </c>
      <c r="AH948" s="217">
        <f t="shared" si="1053"/>
        <v>70115</v>
      </c>
      <c r="AI948" s="217">
        <v>32937</v>
      </c>
      <c r="AJ948" s="764">
        <f t="shared" si="1054"/>
        <v>46.975682806817368</v>
      </c>
    </row>
    <row r="949" spans="1:36" ht="15.75" customHeight="1">
      <c r="A949" s="40"/>
      <c r="B949" s="40"/>
      <c r="C949" s="124"/>
      <c r="D949" s="465">
        <v>3</v>
      </c>
      <c r="E949" s="465" t="s">
        <v>198</v>
      </c>
      <c r="F949" s="125"/>
      <c r="G949" s="481"/>
      <c r="H949" s="125"/>
      <c r="I949" s="66" t="s">
        <v>116</v>
      </c>
      <c r="J949" s="128">
        <v>2400000</v>
      </c>
      <c r="K949" s="208"/>
      <c r="L949" s="217">
        <f>SUM(J949:K949)</f>
        <v>2400000</v>
      </c>
      <c r="M949" s="217">
        <v>3711513</v>
      </c>
      <c r="N949" s="217"/>
      <c r="O949" s="217"/>
      <c r="P949" s="217"/>
      <c r="Q949" s="217">
        <v>-900000</v>
      </c>
      <c r="R949" s="217"/>
      <c r="S949" s="217">
        <f t="shared" si="1050"/>
        <v>2811513</v>
      </c>
      <c r="T949" s="217">
        <f t="shared" si="1051"/>
        <v>5211513</v>
      </c>
      <c r="U949" s="217"/>
      <c r="V949" s="217">
        <v>-34128</v>
      </c>
      <c r="W949" s="217"/>
      <c r="X949" s="217">
        <v>-7020</v>
      </c>
      <c r="Y949" s="217"/>
      <c r="Z949" s="217">
        <f>SUM(U949:Y949)</f>
        <v>-41148</v>
      </c>
      <c r="AA949" s="217">
        <f>Z949+T949</f>
        <v>5170365</v>
      </c>
      <c r="AB949" s="217"/>
      <c r="AC949" s="217"/>
      <c r="AD949" s="217"/>
      <c r="AE949" s="217">
        <v>-122592</v>
      </c>
      <c r="AF949" s="217"/>
      <c r="AG949" s="217">
        <f t="shared" si="1052"/>
        <v>-122592</v>
      </c>
      <c r="AH949" s="217">
        <f t="shared" si="1053"/>
        <v>5047773</v>
      </c>
      <c r="AI949" s="217">
        <v>470184</v>
      </c>
      <c r="AJ949" s="764">
        <f t="shared" si="1054"/>
        <v>9.3146819399366816</v>
      </c>
    </row>
    <row r="950" spans="1:36" ht="15.75" customHeight="1">
      <c r="A950" s="40"/>
      <c r="B950" s="40"/>
      <c r="C950" s="124"/>
      <c r="D950" s="124"/>
      <c r="E950" s="124"/>
      <c r="F950" s="41"/>
      <c r="G950" s="41"/>
      <c r="H950" s="66"/>
      <c r="I950" s="66"/>
      <c r="J950" s="128"/>
      <c r="K950" s="208"/>
      <c r="L950" s="217"/>
      <c r="M950" s="217"/>
      <c r="N950" s="217"/>
      <c r="O950" s="217"/>
      <c r="P950" s="217"/>
      <c r="Q950" s="217"/>
      <c r="R950" s="217"/>
      <c r="S950" s="217"/>
      <c r="T950" s="217"/>
      <c r="U950" s="217"/>
      <c r="V950" s="217"/>
      <c r="W950" s="217"/>
      <c r="X950" s="217"/>
      <c r="Y950" s="217"/>
      <c r="Z950" s="217"/>
      <c r="AA950" s="217"/>
      <c r="AB950" s="217"/>
      <c r="AC950" s="217"/>
      <c r="AD950" s="217"/>
      <c r="AE950" s="217"/>
      <c r="AF950" s="217"/>
      <c r="AG950" s="217"/>
      <c r="AH950" s="217"/>
      <c r="AI950" s="217"/>
      <c r="AJ950" s="764"/>
    </row>
    <row r="951" spans="1:36" ht="15.75" customHeight="1">
      <c r="A951" s="40"/>
      <c r="B951" s="40"/>
      <c r="C951" s="124"/>
      <c r="D951" s="124"/>
      <c r="E951" s="124"/>
      <c r="F951" s="491"/>
      <c r="G951" s="42"/>
      <c r="H951" s="129"/>
      <c r="I951" s="166" t="s">
        <v>37</v>
      </c>
      <c r="J951" s="460">
        <f>SUM(J946:J949)</f>
        <v>2400000</v>
      </c>
      <c r="K951" s="461"/>
      <c r="L951" s="460">
        <f>SUM(L946:L949)</f>
        <v>2400000</v>
      </c>
      <c r="M951" s="460">
        <f t="shared" ref="M951:T951" si="1055">SUM(M946:M949)</f>
        <v>3737430</v>
      </c>
      <c r="N951" s="460">
        <f t="shared" si="1055"/>
        <v>0</v>
      </c>
      <c r="O951" s="460">
        <f t="shared" si="1055"/>
        <v>0</v>
      </c>
      <c r="P951" s="460">
        <f t="shared" si="1055"/>
        <v>0</v>
      </c>
      <c r="Q951" s="460">
        <f t="shared" si="1055"/>
        <v>-900000</v>
      </c>
      <c r="R951" s="460">
        <f t="shared" si="1055"/>
        <v>0</v>
      </c>
      <c r="S951" s="460">
        <f t="shared" si="1055"/>
        <v>2837430</v>
      </c>
      <c r="T951" s="460">
        <f t="shared" si="1055"/>
        <v>5237430</v>
      </c>
      <c r="U951" s="460"/>
      <c r="V951" s="460"/>
      <c r="W951" s="460"/>
      <c r="X951" s="460"/>
      <c r="Y951" s="460"/>
      <c r="Z951" s="460">
        <f t="shared" ref="Z951:AA951" si="1056">SUM(Z946:Z949)</f>
        <v>0</v>
      </c>
      <c r="AA951" s="460">
        <f t="shared" si="1056"/>
        <v>5237430</v>
      </c>
      <c r="AB951" s="460"/>
      <c r="AC951" s="460"/>
      <c r="AD951" s="460"/>
      <c r="AE951" s="460">
        <f t="shared" ref="AE951:AI951" si="1057">SUM(AE946:AE949)</f>
        <v>0</v>
      </c>
      <c r="AF951" s="460">
        <f t="shared" si="1057"/>
        <v>0</v>
      </c>
      <c r="AG951" s="460">
        <f t="shared" si="1057"/>
        <v>0</v>
      </c>
      <c r="AH951" s="460">
        <f t="shared" si="1057"/>
        <v>5237430</v>
      </c>
      <c r="AI951" s="460">
        <f t="shared" si="1057"/>
        <v>622663</v>
      </c>
      <c r="AJ951" s="771">
        <f>AI951/AH951*100</f>
        <v>11.888712593772137</v>
      </c>
    </row>
    <row r="952" spans="1:36" ht="14">
      <c r="A952" s="40"/>
      <c r="B952" s="40"/>
      <c r="C952" s="124"/>
      <c r="D952" s="124"/>
      <c r="E952" s="124"/>
      <c r="F952" s="41"/>
      <c r="G952" s="41"/>
      <c r="H952" s="66"/>
      <c r="I952" s="41"/>
      <c r="J952" s="126"/>
      <c r="K952" s="204"/>
      <c r="L952" s="205"/>
      <c r="M952" s="205"/>
      <c r="N952" s="205"/>
      <c r="O952" s="205"/>
      <c r="P952" s="205"/>
      <c r="Q952" s="205"/>
      <c r="R952" s="205"/>
      <c r="S952" s="205"/>
      <c r="T952" s="205"/>
      <c r="U952" s="205"/>
      <c r="V952" s="205"/>
      <c r="W952" s="205"/>
      <c r="X952" s="205"/>
      <c r="Y952" s="205"/>
      <c r="Z952" s="205"/>
      <c r="AA952" s="205"/>
      <c r="AB952" s="205"/>
      <c r="AC952" s="205"/>
      <c r="AD952" s="205"/>
      <c r="AE952" s="205"/>
      <c r="AF952" s="205"/>
      <c r="AG952" s="205"/>
      <c r="AH952" s="205"/>
      <c r="AI952" s="205"/>
      <c r="AJ952" s="747"/>
    </row>
    <row r="953" spans="1:36" ht="14">
      <c r="A953" s="40">
        <v>41</v>
      </c>
      <c r="B953" s="40"/>
      <c r="C953" s="124"/>
      <c r="D953" s="124"/>
      <c r="E953" s="124"/>
      <c r="F953" s="942" t="s">
        <v>127</v>
      </c>
      <c r="G953" s="935"/>
      <c r="H953" s="935"/>
      <c r="I953" s="936"/>
      <c r="J953" s="126"/>
      <c r="K953" s="204"/>
      <c r="L953" s="205"/>
      <c r="M953" s="205"/>
      <c r="N953" s="205"/>
      <c r="O953" s="205"/>
      <c r="P953" s="205"/>
      <c r="Q953" s="205"/>
      <c r="R953" s="205"/>
      <c r="S953" s="205"/>
      <c r="T953" s="205"/>
      <c r="U953" s="205"/>
      <c r="V953" s="205"/>
      <c r="W953" s="205"/>
      <c r="X953" s="205"/>
      <c r="Y953" s="205"/>
      <c r="Z953" s="205"/>
      <c r="AA953" s="205"/>
      <c r="AB953" s="205"/>
      <c r="AC953" s="205"/>
      <c r="AD953" s="205"/>
      <c r="AE953" s="205"/>
      <c r="AF953" s="205"/>
      <c r="AG953" s="205"/>
      <c r="AH953" s="205"/>
      <c r="AI953" s="205"/>
      <c r="AJ953" s="747"/>
    </row>
    <row r="954" spans="1:36" ht="14">
      <c r="A954" s="40"/>
      <c r="B954" s="40"/>
      <c r="C954" s="124">
        <v>1</v>
      </c>
      <c r="D954" s="124"/>
      <c r="E954" s="124"/>
      <c r="F954" s="41"/>
      <c r="G954" s="41"/>
      <c r="H954" s="66" t="s">
        <v>35</v>
      </c>
      <c r="I954" s="125"/>
      <c r="J954" s="126"/>
      <c r="K954" s="208"/>
      <c r="L954" s="217"/>
      <c r="M954" s="217"/>
      <c r="N954" s="217"/>
      <c r="O954" s="217"/>
      <c r="P954" s="217"/>
      <c r="Q954" s="217"/>
      <c r="R954" s="217"/>
      <c r="S954" s="217"/>
      <c r="T954" s="217"/>
      <c r="U954" s="217"/>
      <c r="V954" s="217"/>
      <c r="W954" s="217"/>
      <c r="X954" s="217"/>
      <c r="Y954" s="217"/>
      <c r="Z954" s="217"/>
      <c r="AA954" s="217"/>
      <c r="AB954" s="217"/>
      <c r="AC954" s="217"/>
      <c r="AD954" s="217"/>
      <c r="AE954" s="217"/>
      <c r="AF954" s="217"/>
      <c r="AG954" s="217"/>
      <c r="AH954" s="217"/>
      <c r="AI954" s="217"/>
      <c r="AJ954" s="764"/>
    </row>
    <row r="955" spans="1:36" ht="14">
      <c r="A955" s="40"/>
      <c r="B955" s="40"/>
      <c r="C955" s="124"/>
      <c r="D955" s="124">
        <v>5</v>
      </c>
      <c r="E955" s="124" t="s">
        <v>198</v>
      </c>
      <c r="F955" s="41"/>
      <c r="G955" s="41"/>
      <c r="H955" s="66"/>
      <c r="I955" s="125" t="s">
        <v>185</v>
      </c>
      <c r="J955" s="128">
        <v>380000</v>
      </c>
      <c r="K955" s="208"/>
      <c r="L955" s="217">
        <f>SUM(J955:K955)</f>
        <v>380000</v>
      </c>
      <c r="M955" s="217"/>
      <c r="N955" s="217"/>
      <c r="O955" s="217"/>
      <c r="P955" s="217"/>
      <c r="Q955" s="217"/>
      <c r="R955" s="217"/>
      <c r="S955" s="217">
        <f t="shared" ref="S955" si="1058">SUM(M955:R955)</f>
        <v>0</v>
      </c>
      <c r="T955" s="217">
        <f t="shared" ref="T955" si="1059">S955+L955</f>
        <v>380000</v>
      </c>
      <c r="U955" s="217"/>
      <c r="V955" s="217"/>
      <c r="W955" s="217"/>
      <c r="X955" s="217"/>
      <c r="Y955" s="217"/>
      <c r="Z955" s="217">
        <f>SUM(U955:Y955)</f>
        <v>0</v>
      </c>
      <c r="AA955" s="217">
        <f>Z955+T955</f>
        <v>380000</v>
      </c>
      <c r="AB955" s="217"/>
      <c r="AC955" s="217"/>
      <c r="AD955" s="217"/>
      <c r="AE955" s="217"/>
      <c r="AF955" s="217"/>
      <c r="AG955" s="217">
        <f t="shared" ref="AG955" si="1060">SUM(AB955:AF955)</f>
        <v>0</v>
      </c>
      <c r="AH955" s="217">
        <f t="shared" ref="AH955" si="1061">AG955+AA955</f>
        <v>380000</v>
      </c>
      <c r="AI955" s="217">
        <v>380000</v>
      </c>
      <c r="AJ955" s="764">
        <f>AI955/AH955*100</f>
        <v>100</v>
      </c>
    </row>
    <row r="956" spans="1:36" ht="14">
      <c r="A956" s="40"/>
      <c r="B956" s="40"/>
      <c r="C956" s="124"/>
      <c r="D956" s="124"/>
      <c r="E956" s="124"/>
      <c r="F956" s="496"/>
      <c r="G956" s="497"/>
      <c r="H956" s="498"/>
      <c r="I956" s="499"/>
      <c r="J956" s="126"/>
      <c r="K956" s="208"/>
      <c r="L956" s="217"/>
      <c r="M956" s="217"/>
      <c r="N956" s="217"/>
      <c r="O956" s="217"/>
      <c r="P956" s="217"/>
      <c r="Q956" s="217"/>
      <c r="R956" s="217"/>
      <c r="S956" s="217"/>
      <c r="T956" s="217"/>
      <c r="U956" s="217"/>
      <c r="V956" s="217"/>
      <c r="W956" s="217"/>
      <c r="X956" s="217"/>
      <c r="Y956" s="217"/>
      <c r="Z956" s="217"/>
      <c r="AA956" s="217"/>
      <c r="AB956" s="217"/>
      <c r="AC956" s="217"/>
      <c r="AD956" s="217"/>
      <c r="AE956" s="217"/>
      <c r="AF956" s="217"/>
      <c r="AG956" s="217"/>
      <c r="AH956" s="217"/>
      <c r="AI956" s="217"/>
      <c r="AJ956" s="764"/>
    </row>
    <row r="957" spans="1:36" ht="14">
      <c r="A957" s="40"/>
      <c r="B957" s="40"/>
      <c r="C957" s="124"/>
      <c r="D957" s="124"/>
      <c r="E957" s="124"/>
      <c r="F957" s="491"/>
      <c r="G957" s="42"/>
      <c r="H957" s="129"/>
      <c r="I957" s="130" t="s">
        <v>37</v>
      </c>
      <c r="J957" s="131">
        <f>SUM(J955:J956)</f>
        <v>380000</v>
      </c>
      <c r="K957" s="209"/>
      <c r="L957" s="218">
        <f>SUM(L955:L956)</f>
        <v>380000</v>
      </c>
      <c r="M957" s="218">
        <f t="shared" ref="M957:T957" si="1062">SUM(M955:M956)</f>
        <v>0</v>
      </c>
      <c r="N957" s="218">
        <f t="shared" si="1062"/>
        <v>0</v>
      </c>
      <c r="O957" s="218">
        <f t="shared" si="1062"/>
        <v>0</v>
      </c>
      <c r="P957" s="218">
        <f t="shared" si="1062"/>
        <v>0</v>
      </c>
      <c r="Q957" s="218">
        <f t="shared" si="1062"/>
        <v>0</v>
      </c>
      <c r="R957" s="218">
        <f t="shared" si="1062"/>
        <v>0</v>
      </c>
      <c r="S957" s="218">
        <f t="shared" si="1062"/>
        <v>0</v>
      </c>
      <c r="T957" s="218">
        <f t="shared" si="1062"/>
        <v>380000</v>
      </c>
      <c r="U957" s="218"/>
      <c r="V957" s="218"/>
      <c r="W957" s="218"/>
      <c r="X957" s="218"/>
      <c r="Y957" s="218"/>
      <c r="Z957" s="218">
        <f t="shared" ref="Z957:AA957" si="1063">SUM(Z955:Z956)</f>
        <v>0</v>
      </c>
      <c r="AA957" s="218">
        <f t="shared" si="1063"/>
        <v>380000</v>
      </c>
      <c r="AB957" s="218"/>
      <c r="AC957" s="218"/>
      <c r="AD957" s="218"/>
      <c r="AE957" s="218"/>
      <c r="AF957" s="218"/>
      <c r="AG957" s="218">
        <f t="shared" ref="AG957:AI957" si="1064">SUM(AG955:AG956)</f>
        <v>0</v>
      </c>
      <c r="AH957" s="218">
        <f t="shared" si="1064"/>
        <v>380000</v>
      </c>
      <c r="AI957" s="218">
        <f t="shared" si="1064"/>
        <v>380000</v>
      </c>
      <c r="AJ957" s="771">
        <f>AI957/AH957*100</f>
        <v>100</v>
      </c>
    </row>
    <row r="958" spans="1:36" ht="14">
      <c r="A958" s="40"/>
      <c r="B958" s="40"/>
      <c r="C958" s="124"/>
      <c r="D958" s="124"/>
      <c r="E958" s="124"/>
      <c r="F958" s="41"/>
      <c r="G958" s="41"/>
      <c r="H958" s="66"/>
      <c r="I958" s="41"/>
      <c r="J958" s="126"/>
      <c r="K958" s="204"/>
      <c r="L958" s="205"/>
      <c r="M958" s="205"/>
      <c r="N958" s="205"/>
      <c r="O958" s="205"/>
      <c r="P958" s="205"/>
      <c r="Q958" s="205"/>
      <c r="R958" s="205"/>
      <c r="S958" s="205"/>
      <c r="T958" s="205"/>
      <c r="U958" s="205"/>
      <c r="V958" s="205"/>
      <c r="W958" s="205"/>
      <c r="X958" s="205"/>
      <c r="Y958" s="205"/>
      <c r="Z958" s="205"/>
      <c r="AA958" s="205"/>
      <c r="AB958" s="205"/>
      <c r="AC958" s="205"/>
      <c r="AD958" s="205"/>
      <c r="AE958" s="205"/>
      <c r="AF958" s="205"/>
      <c r="AG958" s="205"/>
      <c r="AH958" s="205"/>
      <c r="AI958" s="205"/>
      <c r="AJ958" s="747"/>
    </row>
    <row r="959" spans="1:36" ht="14">
      <c r="A959" s="40">
        <v>42</v>
      </c>
      <c r="B959" s="40"/>
      <c r="C959" s="124"/>
      <c r="D959" s="124"/>
      <c r="E959" s="124"/>
      <c r="F959" s="942" t="s">
        <v>206</v>
      </c>
      <c r="G959" s="935"/>
      <c r="H959" s="935"/>
      <c r="I959" s="936"/>
      <c r="J959" s="126"/>
      <c r="K959" s="204"/>
      <c r="L959" s="205"/>
      <c r="M959" s="205"/>
      <c r="N959" s="205"/>
      <c r="O959" s="205"/>
      <c r="P959" s="205"/>
      <c r="Q959" s="205"/>
      <c r="R959" s="205"/>
      <c r="S959" s="205"/>
      <c r="T959" s="205"/>
      <c r="U959" s="205"/>
      <c r="V959" s="205"/>
      <c r="W959" s="205"/>
      <c r="X959" s="205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747"/>
    </row>
    <row r="960" spans="1:36" ht="14">
      <c r="A960" s="40"/>
      <c r="B960" s="40"/>
      <c r="C960" s="124">
        <v>1</v>
      </c>
      <c r="D960" s="124"/>
      <c r="E960" s="124"/>
      <c r="F960" s="41"/>
      <c r="G960" s="41"/>
      <c r="H960" s="66" t="s">
        <v>35</v>
      </c>
      <c r="I960" s="125"/>
      <c r="J960" s="126"/>
      <c r="K960" s="208"/>
      <c r="L960" s="217"/>
      <c r="M960" s="217"/>
      <c r="N960" s="217"/>
      <c r="O960" s="217"/>
      <c r="P960" s="217"/>
      <c r="Q960" s="217"/>
      <c r="R960" s="217"/>
      <c r="S960" s="217"/>
      <c r="T960" s="217"/>
      <c r="U960" s="217"/>
      <c r="V960" s="217"/>
      <c r="W960" s="217"/>
      <c r="X960" s="217"/>
      <c r="Y960" s="217"/>
      <c r="Z960" s="217"/>
      <c r="AA960" s="217"/>
      <c r="AB960" s="217"/>
      <c r="AC960" s="217"/>
      <c r="AD960" s="217"/>
      <c r="AE960" s="217"/>
      <c r="AF960" s="217"/>
      <c r="AG960" s="217"/>
      <c r="AH960" s="217"/>
      <c r="AI960" s="217"/>
      <c r="AJ960" s="764"/>
    </row>
    <row r="961" spans="1:36" ht="14">
      <c r="A961" s="40"/>
      <c r="B961" s="40"/>
      <c r="C961" s="124"/>
      <c r="D961" s="124">
        <v>5</v>
      </c>
      <c r="E961" s="124" t="s">
        <v>198</v>
      </c>
      <c r="F961" s="41"/>
      <c r="G961" s="41"/>
      <c r="H961" s="66"/>
      <c r="I961" s="125" t="s">
        <v>185</v>
      </c>
      <c r="J961" s="128">
        <v>450000</v>
      </c>
      <c r="K961" s="208"/>
      <c r="L961" s="217">
        <f>SUM(J961:K961)</f>
        <v>450000</v>
      </c>
      <c r="M961" s="217"/>
      <c r="N961" s="217"/>
      <c r="O961" s="217"/>
      <c r="P961" s="217"/>
      <c r="Q961" s="217"/>
      <c r="R961" s="217"/>
      <c r="S961" s="217">
        <f t="shared" ref="S961" si="1065">SUM(M961:R961)</f>
        <v>0</v>
      </c>
      <c r="T961" s="217">
        <f t="shared" ref="T961" si="1066">S961+L961</f>
        <v>450000</v>
      </c>
      <c r="U961" s="217"/>
      <c r="V961" s="217"/>
      <c r="W961" s="217"/>
      <c r="X961" s="217"/>
      <c r="Y961" s="217"/>
      <c r="Z961" s="217">
        <f>SUM(U961:Y961)</f>
        <v>0</v>
      </c>
      <c r="AA961" s="217">
        <f>Z961+T961</f>
        <v>450000</v>
      </c>
      <c r="AB961" s="217"/>
      <c r="AC961" s="217"/>
      <c r="AD961" s="217"/>
      <c r="AE961" s="217"/>
      <c r="AF961" s="217"/>
      <c r="AG961" s="217">
        <f t="shared" ref="AG961" si="1067">SUM(AB961:AF961)</f>
        <v>0</v>
      </c>
      <c r="AH961" s="217">
        <f t="shared" ref="AH961" si="1068">AG961+AA961</f>
        <v>450000</v>
      </c>
      <c r="AI961" s="217">
        <v>450000</v>
      </c>
      <c r="AJ961" s="764">
        <f>AI961/AH961*100</f>
        <v>100</v>
      </c>
    </row>
    <row r="962" spans="1:36" ht="14">
      <c r="A962" s="40"/>
      <c r="B962" s="40"/>
      <c r="C962" s="124"/>
      <c r="D962" s="124"/>
      <c r="E962" s="124"/>
      <c r="F962" s="496"/>
      <c r="G962" s="497"/>
      <c r="H962" s="498"/>
      <c r="I962" s="499"/>
      <c r="J962" s="126"/>
      <c r="K962" s="208"/>
      <c r="L962" s="217"/>
      <c r="M962" s="217"/>
      <c r="N962" s="217"/>
      <c r="O962" s="217"/>
      <c r="P962" s="217"/>
      <c r="Q962" s="217"/>
      <c r="R962" s="217"/>
      <c r="S962" s="217"/>
      <c r="T962" s="217"/>
      <c r="U962" s="217"/>
      <c r="V962" s="217"/>
      <c r="W962" s="217"/>
      <c r="X962" s="217"/>
      <c r="Y962" s="217"/>
      <c r="Z962" s="217"/>
      <c r="AA962" s="217"/>
      <c r="AB962" s="217"/>
      <c r="AC962" s="217"/>
      <c r="AD962" s="217"/>
      <c r="AE962" s="217"/>
      <c r="AF962" s="217"/>
      <c r="AG962" s="217"/>
      <c r="AH962" s="217"/>
      <c r="AI962" s="217"/>
      <c r="AJ962" s="764"/>
    </row>
    <row r="963" spans="1:36" ht="14">
      <c r="A963" s="40"/>
      <c r="B963" s="40"/>
      <c r="C963" s="124"/>
      <c r="D963" s="124"/>
      <c r="E963" s="124"/>
      <c r="F963" s="491"/>
      <c r="G963" s="42"/>
      <c r="H963" s="129"/>
      <c r="I963" s="130" t="s">
        <v>37</v>
      </c>
      <c r="J963" s="131">
        <f>SUM(J961:J962)</f>
        <v>450000</v>
      </c>
      <c r="K963" s="209"/>
      <c r="L963" s="218">
        <f>SUM(L961:L962)</f>
        <v>450000</v>
      </c>
      <c r="M963" s="218">
        <f t="shared" ref="M963:T963" si="1069">SUM(M961:M962)</f>
        <v>0</v>
      </c>
      <c r="N963" s="218">
        <f t="shared" si="1069"/>
        <v>0</v>
      </c>
      <c r="O963" s="218">
        <f t="shared" si="1069"/>
        <v>0</v>
      </c>
      <c r="P963" s="218">
        <f t="shared" si="1069"/>
        <v>0</v>
      </c>
      <c r="Q963" s="218">
        <f t="shared" si="1069"/>
        <v>0</v>
      </c>
      <c r="R963" s="218">
        <f t="shared" si="1069"/>
        <v>0</v>
      </c>
      <c r="S963" s="218">
        <f t="shared" si="1069"/>
        <v>0</v>
      </c>
      <c r="T963" s="218">
        <f t="shared" si="1069"/>
        <v>450000</v>
      </c>
      <c r="U963" s="218"/>
      <c r="V963" s="218"/>
      <c r="W963" s="218"/>
      <c r="X963" s="218"/>
      <c r="Y963" s="218"/>
      <c r="Z963" s="218">
        <f t="shared" ref="Z963:AA963" si="1070">SUM(Z961:Z962)</f>
        <v>0</v>
      </c>
      <c r="AA963" s="218">
        <f t="shared" si="1070"/>
        <v>450000</v>
      </c>
      <c r="AB963" s="218"/>
      <c r="AC963" s="218"/>
      <c r="AD963" s="218"/>
      <c r="AE963" s="218"/>
      <c r="AF963" s="218"/>
      <c r="AG963" s="218">
        <f t="shared" ref="AG963:AI963" si="1071">SUM(AG961:AG962)</f>
        <v>0</v>
      </c>
      <c r="AH963" s="218">
        <f t="shared" si="1071"/>
        <v>450000</v>
      </c>
      <c r="AI963" s="218">
        <f t="shared" si="1071"/>
        <v>450000</v>
      </c>
      <c r="AJ963" s="771">
        <f>AI963/AH963*100</f>
        <v>100</v>
      </c>
    </row>
    <row r="964" spans="1:36" ht="14">
      <c r="A964" s="40"/>
      <c r="B964" s="40"/>
      <c r="C964" s="124"/>
      <c r="D964" s="124"/>
      <c r="E964" s="124"/>
      <c r="F964" s="41"/>
      <c r="G964" s="41"/>
      <c r="H964" s="66"/>
      <c r="I964" s="41"/>
      <c r="J964" s="126"/>
      <c r="K964" s="204"/>
      <c r="L964" s="205"/>
      <c r="M964" s="205"/>
      <c r="N964" s="205"/>
      <c r="O964" s="205"/>
      <c r="P964" s="205"/>
      <c r="Q964" s="205"/>
      <c r="R964" s="205"/>
      <c r="S964" s="205"/>
      <c r="T964" s="205"/>
      <c r="U964" s="205"/>
      <c r="V964" s="205"/>
      <c r="W964" s="205"/>
      <c r="X964" s="205"/>
      <c r="Y964" s="205"/>
      <c r="Z964" s="205"/>
      <c r="AA964" s="205"/>
      <c r="AB964" s="205"/>
      <c r="AC964" s="205"/>
      <c r="AD964" s="205"/>
      <c r="AE964" s="205"/>
      <c r="AF964" s="205"/>
      <c r="AG964" s="205"/>
      <c r="AH964" s="205"/>
      <c r="AI964" s="205"/>
      <c r="AJ964" s="747"/>
    </row>
    <row r="965" spans="1:36" ht="14">
      <c r="A965" s="40">
        <v>43</v>
      </c>
      <c r="B965" s="40"/>
      <c r="C965" s="124"/>
      <c r="D965" s="124"/>
      <c r="E965" s="124"/>
      <c r="F965" s="942" t="s">
        <v>341</v>
      </c>
      <c r="G965" s="935"/>
      <c r="H965" s="935"/>
      <c r="I965" s="936"/>
      <c r="J965" s="126"/>
      <c r="K965" s="204"/>
      <c r="L965" s="205"/>
      <c r="M965" s="205"/>
      <c r="N965" s="205"/>
      <c r="O965" s="205"/>
      <c r="P965" s="205"/>
      <c r="Q965" s="205"/>
      <c r="R965" s="205"/>
      <c r="S965" s="205"/>
      <c r="T965" s="205"/>
      <c r="U965" s="205"/>
      <c r="V965" s="205"/>
      <c r="W965" s="205"/>
      <c r="X965" s="205"/>
      <c r="Y965" s="205"/>
      <c r="Z965" s="205"/>
      <c r="AA965" s="205"/>
      <c r="AB965" s="205"/>
      <c r="AC965" s="205"/>
      <c r="AD965" s="205"/>
      <c r="AE965" s="205"/>
      <c r="AF965" s="205"/>
      <c r="AG965" s="205"/>
      <c r="AH965" s="205"/>
      <c r="AI965" s="205"/>
      <c r="AJ965" s="747"/>
    </row>
    <row r="966" spans="1:36" ht="14">
      <c r="A966" s="40"/>
      <c r="B966" s="40"/>
      <c r="C966" s="124">
        <v>1</v>
      </c>
      <c r="D966" s="124"/>
      <c r="E966" s="124"/>
      <c r="F966" s="41"/>
      <c r="G966" s="41"/>
      <c r="H966" s="66" t="s">
        <v>35</v>
      </c>
      <c r="I966" s="125"/>
      <c r="J966" s="126"/>
      <c r="K966" s="208"/>
      <c r="L966" s="217"/>
      <c r="M966" s="217"/>
      <c r="N966" s="217"/>
      <c r="O966" s="217"/>
      <c r="P966" s="217"/>
      <c r="Q966" s="217"/>
      <c r="R966" s="217"/>
      <c r="S966" s="217"/>
      <c r="T966" s="217"/>
      <c r="U966" s="217"/>
      <c r="V966" s="217"/>
      <c r="W966" s="217"/>
      <c r="X966" s="217"/>
      <c r="Y966" s="217"/>
      <c r="Z966" s="217"/>
      <c r="AA966" s="217"/>
      <c r="AB966" s="217"/>
      <c r="AC966" s="217"/>
      <c r="AD966" s="217"/>
      <c r="AE966" s="217"/>
      <c r="AF966" s="217"/>
      <c r="AG966" s="217"/>
      <c r="AH966" s="217"/>
      <c r="AI966" s="217"/>
      <c r="AJ966" s="764"/>
    </row>
    <row r="967" spans="1:36" ht="14">
      <c r="A967" s="40"/>
      <c r="B967" s="40"/>
      <c r="C967" s="124"/>
      <c r="D967" s="124">
        <v>3</v>
      </c>
      <c r="E967" s="124" t="s">
        <v>198</v>
      </c>
      <c r="F967" s="41"/>
      <c r="G967" s="41"/>
      <c r="H967" s="66"/>
      <c r="I967" s="125" t="s">
        <v>116</v>
      </c>
      <c r="J967" s="128">
        <v>1300000</v>
      </c>
      <c r="K967" s="208"/>
      <c r="L967" s="217">
        <f>SUM(J967:K967)</f>
        <v>1300000</v>
      </c>
      <c r="M967" s="217"/>
      <c r="N967" s="217"/>
      <c r="O967" s="217"/>
      <c r="P967" s="217"/>
      <c r="Q967" s="217"/>
      <c r="R967" s="217"/>
      <c r="S967" s="217">
        <f t="shared" ref="S967:S968" si="1072">SUM(M967:R967)</f>
        <v>0</v>
      </c>
      <c r="T967" s="217">
        <f t="shared" ref="T967:T968" si="1073">S967+L967</f>
        <v>1300000</v>
      </c>
      <c r="U967" s="217"/>
      <c r="V967" s="217"/>
      <c r="W967" s="217"/>
      <c r="X967" s="217">
        <v>-348285</v>
      </c>
      <c r="Y967" s="217"/>
      <c r="Z967" s="217">
        <f>SUM(U967:Y967)</f>
        <v>-348285</v>
      </c>
      <c r="AA967" s="217">
        <f>Z967+T967</f>
        <v>951715</v>
      </c>
      <c r="AB967" s="217"/>
      <c r="AC967" s="217"/>
      <c r="AD967" s="217"/>
      <c r="AE967" s="217"/>
      <c r="AF967" s="217"/>
      <c r="AG967" s="217">
        <f t="shared" ref="AG967:AG968" si="1074">SUM(AB967:AF967)</f>
        <v>0</v>
      </c>
      <c r="AH967" s="217">
        <f t="shared" ref="AH967:AH968" si="1075">AG967+AA967</f>
        <v>951715</v>
      </c>
      <c r="AI967" s="217"/>
      <c r="AJ967" s="764"/>
    </row>
    <row r="968" spans="1:36" ht="14">
      <c r="A968" s="40"/>
      <c r="B968" s="40"/>
      <c r="C968" s="124"/>
      <c r="D968" s="124">
        <v>5</v>
      </c>
      <c r="E968" s="124" t="s">
        <v>198</v>
      </c>
      <c r="F968" s="41"/>
      <c r="G968" s="41"/>
      <c r="H968" s="66"/>
      <c r="I968" s="125" t="s">
        <v>185</v>
      </c>
      <c r="J968" s="128">
        <v>500000</v>
      </c>
      <c r="K968" s="208"/>
      <c r="L968" s="217">
        <f>SUM(J968:K968)</f>
        <v>500000</v>
      </c>
      <c r="M968" s="217"/>
      <c r="N968" s="217"/>
      <c r="O968" s="217"/>
      <c r="P968" s="217"/>
      <c r="Q968" s="217"/>
      <c r="R968" s="217"/>
      <c r="S968" s="217">
        <f t="shared" si="1072"/>
        <v>0</v>
      </c>
      <c r="T968" s="217">
        <f t="shared" si="1073"/>
        <v>500000</v>
      </c>
      <c r="U968" s="217"/>
      <c r="V968" s="217"/>
      <c r="W968" s="217"/>
      <c r="X968" s="217"/>
      <c r="Y968" s="217"/>
      <c r="Z968" s="217">
        <f>SUM(U968:Y968)</f>
        <v>0</v>
      </c>
      <c r="AA968" s="217">
        <f>Z968+T968</f>
        <v>500000</v>
      </c>
      <c r="AB968" s="217"/>
      <c r="AC968" s="217"/>
      <c r="AD968" s="217"/>
      <c r="AE968" s="217"/>
      <c r="AF968" s="217"/>
      <c r="AG968" s="217">
        <f t="shared" si="1074"/>
        <v>0</v>
      </c>
      <c r="AH968" s="217">
        <f t="shared" si="1075"/>
        <v>500000</v>
      </c>
      <c r="AI968" s="217">
        <v>500000</v>
      </c>
      <c r="AJ968" s="764">
        <f t="shared" ref="AJ968" si="1076">AI968/AH968*100</f>
        <v>100</v>
      </c>
    </row>
    <row r="969" spans="1:36" ht="7.5" customHeight="1">
      <c r="A969" s="40"/>
      <c r="B969" s="40"/>
      <c r="C969" s="124"/>
      <c r="D969" s="124"/>
      <c r="E969" s="124"/>
      <c r="F969" s="496"/>
      <c r="G969" s="497"/>
      <c r="H969" s="498"/>
      <c r="I969" s="499"/>
      <c r="J969" s="126"/>
      <c r="K969" s="208"/>
      <c r="L969" s="217"/>
      <c r="M969" s="217"/>
      <c r="N969" s="217"/>
      <c r="O969" s="217"/>
      <c r="P969" s="217"/>
      <c r="Q969" s="217"/>
      <c r="R969" s="217"/>
      <c r="S969" s="217"/>
      <c r="T969" s="217"/>
      <c r="U969" s="217"/>
      <c r="V969" s="217"/>
      <c r="W969" s="217"/>
      <c r="X969" s="217"/>
      <c r="Y969" s="217"/>
      <c r="Z969" s="217"/>
      <c r="AA969" s="217"/>
      <c r="AB969" s="217"/>
      <c r="AC969" s="217"/>
      <c r="AD969" s="217"/>
      <c r="AE969" s="217"/>
      <c r="AF969" s="217"/>
      <c r="AG969" s="217"/>
      <c r="AH969" s="217"/>
      <c r="AI969" s="217"/>
      <c r="AJ969" s="764"/>
    </row>
    <row r="970" spans="1:36" ht="14">
      <c r="A970" s="40"/>
      <c r="B970" s="40"/>
      <c r="C970" s="124"/>
      <c r="D970" s="124"/>
      <c r="E970" s="124"/>
      <c r="F970" s="491"/>
      <c r="G970" s="42"/>
      <c r="H970" s="129"/>
      <c r="I970" s="130" t="s">
        <v>37</v>
      </c>
      <c r="J970" s="131">
        <f>SUM(J967:J969)</f>
        <v>1800000</v>
      </c>
      <c r="K970" s="209"/>
      <c r="L970" s="218">
        <f>SUM(L967:L969)</f>
        <v>1800000</v>
      </c>
      <c r="M970" s="218">
        <f t="shared" ref="M970:T970" si="1077">SUM(M967:M969)</f>
        <v>0</v>
      </c>
      <c r="N970" s="218">
        <f t="shared" si="1077"/>
        <v>0</v>
      </c>
      <c r="O970" s="218">
        <f t="shared" si="1077"/>
        <v>0</v>
      </c>
      <c r="P970" s="218">
        <f t="shared" si="1077"/>
        <v>0</v>
      </c>
      <c r="Q970" s="218">
        <f t="shared" si="1077"/>
        <v>0</v>
      </c>
      <c r="R970" s="218">
        <f t="shared" si="1077"/>
        <v>0</v>
      </c>
      <c r="S970" s="218">
        <f t="shared" si="1077"/>
        <v>0</v>
      </c>
      <c r="T970" s="218">
        <f t="shared" si="1077"/>
        <v>1800000</v>
      </c>
      <c r="U970" s="218"/>
      <c r="V970" s="218"/>
      <c r="W970" s="218"/>
      <c r="X970" s="218">
        <f t="shared" ref="X970:AA970" si="1078">SUM(X967:X969)</f>
        <v>-348285</v>
      </c>
      <c r="Y970" s="218"/>
      <c r="Z970" s="218">
        <f t="shared" si="1078"/>
        <v>-348285</v>
      </c>
      <c r="AA970" s="218">
        <f t="shared" si="1078"/>
        <v>1451715</v>
      </c>
      <c r="AB970" s="218"/>
      <c r="AC970" s="218"/>
      <c r="AD970" s="218"/>
      <c r="AE970" s="218">
        <f t="shared" ref="AE970" si="1079">SUM(AE967:AE969)</f>
        <v>0</v>
      </c>
      <c r="AF970" s="218"/>
      <c r="AG970" s="218">
        <f t="shared" ref="AG970:AI970" si="1080">SUM(AG967:AG969)</f>
        <v>0</v>
      </c>
      <c r="AH970" s="218">
        <f t="shared" si="1080"/>
        <v>1451715</v>
      </c>
      <c r="AI970" s="218">
        <f t="shared" si="1080"/>
        <v>500000</v>
      </c>
      <c r="AJ970" s="771">
        <f>AI970/AH970*100</f>
        <v>34.442022022228883</v>
      </c>
    </row>
    <row r="971" spans="1:36" ht="14">
      <c r="A971" s="40"/>
      <c r="B971" s="40"/>
      <c r="C971" s="124"/>
      <c r="D971" s="124"/>
      <c r="E971" s="124"/>
      <c r="F971" s="41"/>
      <c r="G971" s="41"/>
      <c r="H971" s="66"/>
      <c r="I971" s="41"/>
      <c r="J971" s="126"/>
      <c r="K971" s="204"/>
      <c r="L971" s="205"/>
      <c r="M971" s="205"/>
      <c r="N971" s="205"/>
      <c r="O971" s="205"/>
      <c r="P971" s="205"/>
      <c r="Q971" s="205"/>
      <c r="R971" s="205"/>
      <c r="S971" s="205"/>
      <c r="T971" s="205"/>
      <c r="U971" s="205"/>
      <c r="V971" s="205"/>
      <c r="W971" s="205"/>
      <c r="X971" s="205"/>
      <c r="Y971" s="205"/>
      <c r="Z971" s="205"/>
      <c r="AA971" s="205"/>
      <c r="AB971" s="205"/>
      <c r="AC971" s="205"/>
      <c r="AD971" s="205"/>
      <c r="AE971" s="205"/>
      <c r="AF971" s="205"/>
      <c r="AG971" s="205"/>
      <c r="AH971" s="205"/>
      <c r="AI971" s="205"/>
      <c r="AJ971" s="747"/>
    </row>
    <row r="972" spans="1:36" ht="14">
      <c r="A972" s="40">
        <v>44</v>
      </c>
      <c r="B972" s="40"/>
      <c r="C972" s="124"/>
      <c r="D972" s="124"/>
      <c r="E972" s="124"/>
      <c r="F972" s="942" t="s">
        <v>209</v>
      </c>
      <c r="G972" s="935"/>
      <c r="H972" s="935"/>
      <c r="I972" s="936"/>
      <c r="J972" s="126"/>
      <c r="K972" s="204"/>
      <c r="L972" s="205"/>
      <c r="M972" s="205"/>
      <c r="N972" s="205"/>
      <c r="O972" s="205"/>
      <c r="P972" s="205"/>
      <c r="Q972" s="205"/>
      <c r="R972" s="205"/>
      <c r="S972" s="205"/>
      <c r="T972" s="205"/>
      <c r="U972" s="205"/>
      <c r="V972" s="205"/>
      <c r="W972" s="205"/>
      <c r="X972" s="205"/>
      <c r="Y972" s="205"/>
      <c r="Z972" s="205"/>
      <c r="AA972" s="205"/>
      <c r="AB972" s="205"/>
      <c r="AC972" s="205"/>
      <c r="AD972" s="205"/>
      <c r="AE972" s="205"/>
      <c r="AF972" s="205"/>
      <c r="AG972" s="205"/>
      <c r="AH972" s="205"/>
      <c r="AI972" s="205"/>
      <c r="AJ972" s="747"/>
    </row>
    <row r="973" spans="1:36" ht="14">
      <c r="A973" s="40"/>
      <c r="B973" s="40"/>
      <c r="C973" s="124">
        <v>1</v>
      </c>
      <c r="D973" s="124"/>
      <c r="E973" s="124"/>
      <c r="F973" s="41"/>
      <c r="G973" s="41"/>
      <c r="H973" s="66" t="s">
        <v>35</v>
      </c>
      <c r="I973" s="125"/>
      <c r="J973" s="126"/>
      <c r="K973" s="208"/>
      <c r="L973" s="217"/>
      <c r="M973" s="217"/>
      <c r="N973" s="217"/>
      <c r="O973" s="217"/>
      <c r="P973" s="217"/>
      <c r="Q973" s="217"/>
      <c r="R973" s="217"/>
      <c r="S973" s="217"/>
      <c r="T973" s="217"/>
      <c r="U973" s="217"/>
      <c r="V973" s="217"/>
      <c r="W973" s="217"/>
      <c r="X973" s="217"/>
      <c r="Y973" s="217"/>
      <c r="Z973" s="217"/>
      <c r="AA973" s="217"/>
      <c r="AB973" s="217"/>
      <c r="AC973" s="217"/>
      <c r="AD973" s="217"/>
      <c r="AE973" s="217"/>
      <c r="AF973" s="217"/>
      <c r="AG973" s="217"/>
      <c r="AH973" s="217"/>
      <c r="AI973" s="217"/>
      <c r="AJ973" s="764"/>
    </row>
    <row r="974" spans="1:36" ht="14">
      <c r="A974" s="40"/>
      <c r="B974" s="40"/>
      <c r="C974" s="124"/>
      <c r="D974" s="124">
        <v>5</v>
      </c>
      <c r="E974" s="124" t="s">
        <v>198</v>
      </c>
      <c r="F974" s="41"/>
      <c r="G974" s="41"/>
      <c r="H974" s="66"/>
      <c r="I974" s="125" t="s">
        <v>185</v>
      </c>
      <c r="J974" s="128">
        <v>1200000</v>
      </c>
      <c r="K974" s="208"/>
      <c r="L974" s="217">
        <f>SUM(J974:K974)</f>
        <v>1200000</v>
      </c>
      <c r="M974" s="217"/>
      <c r="N974" s="217"/>
      <c r="O974" s="217"/>
      <c r="P974" s="217"/>
      <c r="Q974" s="217"/>
      <c r="R974" s="217"/>
      <c r="S974" s="217">
        <f t="shared" ref="S974" si="1081">SUM(M974:R974)</f>
        <v>0</v>
      </c>
      <c r="T974" s="217">
        <f t="shared" ref="T974" si="1082">S974+L974</f>
        <v>1200000</v>
      </c>
      <c r="U974" s="217"/>
      <c r="V974" s="217"/>
      <c r="W974" s="217"/>
      <c r="X974" s="217"/>
      <c r="Y974" s="217"/>
      <c r="Z974" s="217">
        <f>SUM(U974:Y974)</f>
        <v>0</v>
      </c>
      <c r="AA974" s="217">
        <f>Z974+T974</f>
        <v>1200000</v>
      </c>
      <c r="AB974" s="217"/>
      <c r="AC974" s="217"/>
      <c r="AD974" s="217"/>
      <c r="AE974" s="217"/>
      <c r="AF974" s="217"/>
      <c r="AG974" s="217">
        <f t="shared" ref="AG974" si="1083">SUM(AB974:AF974)</f>
        <v>0</v>
      </c>
      <c r="AH974" s="217">
        <f t="shared" ref="AH974" si="1084">AG974+AA974</f>
        <v>1200000</v>
      </c>
      <c r="AI974" s="217">
        <v>1200000</v>
      </c>
      <c r="AJ974" s="764">
        <f>AI974/AH974*100</f>
        <v>100</v>
      </c>
    </row>
    <row r="975" spans="1:36" ht="14">
      <c r="A975" s="40"/>
      <c r="B975" s="40"/>
      <c r="C975" s="124"/>
      <c r="D975" s="124"/>
      <c r="E975" s="124"/>
      <c r="F975" s="496"/>
      <c r="G975" s="497"/>
      <c r="H975" s="498"/>
      <c r="I975" s="499"/>
      <c r="J975" s="126"/>
      <c r="K975" s="208"/>
      <c r="L975" s="217"/>
      <c r="M975" s="217"/>
      <c r="N975" s="217"/>
      <c r="O975" s="217"/>
      <c r="P975" s="217"/>
      <c r="Q975" s="217"/>
      <c r="R975" s="217"/>
      <c r="S975" s="217"/>
      <c r="T975" s="217"/>
      <c r="U975" s="217"/>
      <c r="V975" s="217"/>
      <c r="W975" s="217"/>
      <c r="X975" s="217"/>
      <c r="Y975" s="217"/>
      <c r="Z975" s="217"/>
      <c r="AA975" s="217"/>
      <c r="AB975" s="217"/>
      <c r="AC975" s="217"/>
      <c r="AD975" s="217"/>
      <c r="AE975" s="217"/>
      <c r="AF975" s="217"/>
      <c r="AG975" s="217"/>
      <c r="AH975" s="217"/>
      <c r="AI975" s="217"/>
      <c r="AJ975" s="764"/>
    </row>
    <row r="976" spans="1:36" ht="14">
      <c r="A976" s="40"/>
      <c r="B976" s="40"/>
      <c r="C976" s="124"/>
      <c r="D976" s="124"/>
      <c r="E976" s="124"/>
      <c r="F976" s="491"/>
      <c r="G976" s="42"/>
      <c r="H976" s="129"/>
      <c r="I976" s="130" t="s">
        <v>37</v>
      </c>
      <c r="J976" s="131">
        <f>SUM(J974:J975)</f>
        <v>1200000</v>
      </c>
      <c r="K976" s="209"/>
      <c r="L976" s="218">
        <f>SUM(L974:L975)</f>
        <v>1200000</v>
      </c>
      <c r="M976" s="218">
        <f t="shared" ref="M976:T976" si="1085">SUM(M974:M975)</f>
        <v>0</v>
      </c>
      <c r="N976" s="218">
        <f t="shared" si="1085"/>
        <v>0</v>
      </c>
      <c r="O976" s="218">
        <f t="shared" si="1085"/>
        <v>0</v>
      </c>
      <c r="P976" s="218">
        <f t="shared" si="1085"/>
        <v>0</v>
      </c>
      <c r="Q976" s="218">
        <f t="shared" si="1085"/>
        <v>0</v>
      </c>
      <c r="R976" s="218">
        <f t="shared" si="1085"/>
        <v>0</v>
      </c>
      <c r="S976" s="218">
        <f t="shared" si="1085"/>
        <v>0</v>
      </c>
      <c r="T976" s="218">
        <f t="shared" si="1085"/>
        <v>1200000</v>
      </c>
      <c r="U976" s="218"/>
      <c r="V976" s="218"/>
      <c r="W976" s="218"/>
      <c r="X976" s="218"/>
      <c r="Y976" s="218"/>
      <c r="Z976" s="218">
        <f t="shared" ref="Z976:AA976" si="1086">SUM(Z974:Z975)</f>
        <v>0</v>
      </c>
      <c r="AA976" s="218">
        <f t="shared" si="1086"/>
        <v>1200000</v>
      </c>
      <c r="AB976" s="218"/>
      <c r="AC976" s="218"/>
      <c r="AD976" s="218"/>
      <c r="AE976" s="218"/>
      <c r="AF976" s="218"/>
      <c r="AG976" s="218">
        <f t="shared" ref="AG976:AI976" si="1087">SUM(AG974:AG975)</f>
        <v>0</v>
      </c>
      <c r="AH976" s="218">
        <f t="shared" si="1087"/>
        <v>1200000</v>
      </c>
      <c r="AI976" s="218">
        <f t="shared" si="1087"/>
        <v>1200000</v>
      </c>
      <c r="AJ976" s="771">
        <f>AI976/AH976*100</f>
        <v>100</v>
      </c>
    </row>
    <row r="977" spans="1:36" ht="14">
      <c r="A977" s="40"/>
      <c r="B977" s="40"/>
      <c r="C977" s="124"/>
      <c r="D977" s="124"/>
      <c r="E977" s="124"/>
      <c r="F977" s="41"/>
      <c r="G977" s="41"/>
      <c r="H977" s="66"/>
      <c r="I977" s="41"/>
      <c r="J977" s="126"/>
      <c r="K977" s="204"/>
      <c r="L977" s="205"/>
      <c r="M977" s="205"/>
      <c r="N977" s="205"/>
      <c r="O977" s="205"/>
      <c r="P977" s="205"/>
      <c r="Q977" s="205"/>
      <c r="R977" s="205"/>
      <c r="S977" s="205"/>
      <c r="T977" s="205"/>
      <c r="U977" s="205"/>
      <c r="V977" s="205"/>
      <c r="W977" s="205"/>
      <c r="X977" s="205"/>
      <c r="Y977" s="205"/>
      <c r="Z977" s="205"/>
      <c r="AA977" s="205"/>
      <c r="AB977" s="205"/>
      <c r="AC977" s="205"/>
      <c r="AD977" s="205"/>
      <c r="AE977" s="205"/>
      <c r="AF977" s="205"/>
      <c r="AG977" s="205"/>
      <c r="AH977" s="205"/>
      <c r="AI977" s="205"/>
      <c r="AJ977" s="747"/>
    </row>
    <row r="978" spans="1:36" ht="14">
      <c r="A978" s="40">
        <v>45</v>
      </c>
      <c r="B978" s="40"/>
      <c r="C978" s="124"/>
      <c r="D978" s="124"/>
      <c r="E978" s="124"/>
      <c r="F978" s="942" t="s">
        <v>145</v>
      </c>
      <c r="G978" s="935"/>
      <c r="H978" s="935"/>
      <c r="I978" s="936"/>
      <c r="J978" s="126"/>
      <c r="K978" s="204"/>
      <c r="L978" s="205"/>
      <c r="M978" s="205"/>
      <c r="N978" s="205"/>
      <c r="O978" s="205"/>
      <c r="P978" s="205"/>
      <c r="Q978" s="205"/>
      <c r="R978" s="205"/>
      <c r="S978" s="205"/>
      <c r="T978" s="205"/>
      <c r="U978" s="205"/>
      <c r="V978" s="205"/>
      <c r="W978" s="205"/>
      <c r="X978" s="205"/>
      <c r="Y978" s="205"/>
      <c r="Z978" s="205"/>
      <c r="AA978" s="205"/>
      <c r="AB978" s="205"/>
      <c r="AC978" s="205"/>
      <c r="AD978" s="205"/>
      <c r="AE978" s="205"/>
      <c r="AF978" s="205"/>
      <c r="AG978" s="205"/>
      <c r="AH978" s="205"/>
      <c r="AI978" s="205"/>
      <c r="AJ978" s="747"/>
    </row>
    <row r="979" spans="1:36" ht="14">
      <c r="A979" s="40"/>
      <c r="B979" s="40"/>
      <c r="C979" s="124">
        <v>1</v>
      </c>
      <c r="D979" s="124"/>
      <c r="E979" s="124"/>
      <c r="F979" s="41"/>
      <c r="G979" s="41"/>
      <c r="H979" s="66" t="s">
        <v>35</v>
      </c>
      <c r="I979" s="125"/>
      <c r="J979" s="126"/>
      <c r="K979" s="208"/>
      <c r="L979" s="217"/>
      <c r="M979" s="217"/>
      <c r="N979" s="217"/>
      <c r="O979" s="217"/>
      <c r="P979" s="217"/>
      <c r="Q979" s="217"/>
      <c r="R979" s="217"/>
      <c r="S979" s="217"/>
      <c r="T979" s="217"/>
      <c r="U979" s="217"/>
      <c r="V979" s="217"/>
      <c r="W979" s="217"/>
      <c r="X979" s="217"/>
      <c r="Y979" s="217"/>
      <c r="Z979" s="217"/>
      <c r="AA979" s="217"/>
      <c r="AB979" s="217"/>
      <c r="AC979" s="217"/>
      <c r="AD979" s="217"/>
      <c r="AE979" s="217"/>
      <c r="AF979" s="217"/>
      <c r="AG979" s="217"/>
      <c r="AH979" s="217"/>
      <c r="AI979" s="217"/>
      <c r="AJ979" s="764"/>
    </row>
    <row r="980" spans="1:36" ht="14">
      <c r="A980" s="40"/>
      <c r="B980" s="40"/>
      <c r="C980" s="124"/>
      <c r="D980" s="124">
        <v>3</v>
      </c>
      <c r="E980" s="124" t="s">
        <v>198</v>
      </c>
      <c r="F980" s="41"/>
      <c r="G980" s="41"/>
      <c r="H980" s="66"/>
      <c r="I980" s="125" t="s">
        <v>116</v>
      </c>
      <c r="J980" s="128">
        <v>101600000</v>
      </c>
      <c r="K980" s="208"/>
      <c r="L980" s="217">
        <f>SUM(J980:K980)</f>
        <v>101600000</v>
      </c>
      <c r="M980" s="217">
        <v>10104</v>
      </c>
      <c r="N980" s="217"/>
      <c r="O980" s="217"/>
      <c r="P980" s="217"/>
      <c r="Q980" s="217"/>
      <c r="R980" s="217"/>
      <c r="S980" s="217">
        <f t="shared" ref="S980" si="1088">SUM(M980:R980)</f>
        <v>10104</v>
      </c>
      <c r="T980" s="217">
        <f t="shared" ref="T980" si="1089">S980+L980</f>
        <v>101610104</v>
      </c>
      <c r="U980" s="217"/>
      <c r="V980" s="217"/>
      <c r="W980" s="217"/>
      <c r="X980" s="217"/>
      <c r="Y980" s="217"/>
      <c r="Z980" s="217">
        <f>SUM(U980:Y980)</f>
        <v>0</v>
      </c>
      <c r="AA980" s="217">
        <f>Z980+T980</f>
        <v>101610104</v>
      </c>
      <c r="AB980" s="217"/>
      <c r="AC980" s="217"/>
      <c r="AD980" s="217"/>
      <c r="AE980" s="217">
        <v>-22719223</v>
      </c>
      <c r="AF980" s="217"/>
      <c r="AG980" s="217">
        <f t="shared" ref="AG980" si="1090">SUM(AB980:AF980)</f>
        <v>-22719223</v>
      </c>
      <c r="AH980" s="217">
        <f t="shared" ref="AH980" si="1091">AG980+AA980</f>
        <v>78890881</v>
      </c>
      <c r="AI980" s="217">
        <v>6344699</v>
      </c>
      <c r="AJ980" s="764">
        <f>AI980/AH980*100</f>
        <v>8.0423731102711358</v>
      </c>
    </row>
    <row r="981" spans="1:36" ht="14">
      <c r="A981" s="40"/>
      <c r="B981" s="40"/>
      <c r="C981" s="124"/>
      <c r="D981" s="124"/>
      <c r="E981" s="124"/>
      <c r="F981" s="41"/>
      <c r="G981" s="41"/>
      <c r="H981" s="66"/>
      <c r="I981" s="125"/>
      <c r="J981" s="128"/>
      <c r="K981" s="208"/>
      <c r="L981" s="217"/>
      <c r="M981" s="217"/>
      <c r="N981" s="217"/>
      <c r="O981" s="217"/>
      <c r="P981" s="217"/>
      <c r="Q981" s="217"/>
      <c r="R981" s="217"/>
      <c r="S981" s="217"/>
      <c r="T981" s="217"/>
      <c r="U981" s="217"/>
      <c r="V981" s="217"/>
      <c r="W981" s="217"/>
      <c r="X981" s="217"/>
      <c r="Y981" s="217"/>
      <c r="Z981" s="217"/>
      <c r="AA981" s="217"/>
      <c r="AB981" s="217"/>
      <c r="AC981" s="217"/>
      <c r="AD981" s="217"/>
      <c r="AE981" s="217"/>
      <c r="AF981" s="217"/>
      <c r="AG981" s="217"/>
      <c r="AH981" s="217"/>
      <c r="AI981" s="217"/>
      <c r="AJ981" s="764"/>
    </row>
    <row r="982" spans="1:36" ht="14">
      <c r="A982" s="40"/>
      <c r="B982" s="40"/>
      <c r="C982" s="124"/>
      <c r="D982" s="124"/>
      <c r="E982" s="124"/>
      <c r="F982" s="491"/>
      <c r="G982" s="42"/>
      <c r="H982" s="129"/>
      <c r="I982" s="130" t="s">
        <v>37</v>
      </c>
      <c r="J982" s="131">
        <f>SUM(J980:J981)</f>
        <v>101600000</v>
      </c>
      <c r="K982" s="209"/>
      <c r="L982" s="218">
        <f>SUM(L980:L981)</f>
        <v>101600000</v>
      </c>
      <c r="M982" s="218">
        <f>SUM(M980:M981)</f>
        <v>10104</v>
      </c>
      <c r="N982" s="218">
        <f t="shared" ref="N982:T982" si="1092">SUM(N980:N981)</f>
        <v>0</v>
      </c>
      <c r="O982" s="218">
        <f t="shared" si="1092"/>
        <v>0</v>
      </c>
      <c r="P982" s="218">
        <f t="shared" si="1092"/>
        <v>0</v>
      </c>
      <c r="Q982" s="218">
        <f t="shared" si="1092"/>
        <v>0</v>
      </c>
      <c r="R982" s="218">
        <f t="shared" si="1092"/>
        <v>0</v>
      </c>
      <c r="S982" s="218">
        <f t="shared" si="1092"/>
        <v>10104</v>
      </c>
      <c r="T982" s="218">
        <f t="shared" si="1092"/>
        <v>101610104</v>
      </c>
      <c r="U982" s="218"/>
      <c r="V982" s="218"/>
      <c r="W982" s="218"/>
      <c r="X982" s="218"/>
      <c r="Y982" s="218"/>
      <c r="Z982" s="218">
        <f t="shared" ref="Z982:AA982" si="1093">SUM(Z980:Z981)</f>
        <v>0</v>
      </c>
      <c r="AA982" s="218">
        <f t="shared" si="1093"/>
        <v>101610104</v>
      </c>
      <c r="AB982" s="218"/>
      <c r="AC982" s="218"/>
      <c r="AD982" s="218"/>
      <c r="AE982" s="218">
        <f t="shared" ref="AE982:AI982" si="1094">SUM(AE980:AE981)</f>
        <v>-22719223</v>
      </c>
      <c r="AF982" s="218"/>
      <c r="AG982" s="218">
        <f t="shared" si="1094"/>
        <v>-22719223</v>
      </c>
      <c r="AH982" s="218">
        <f t="shared" si="1094"/>
        <v>78890881</v>
      </c>
      <c r="AI982" s="218">
        <f t="shared" si="1094"/>
        <v>6344699</v>
      </c>
      <c r="AJ982" s="771">
        <f>AI982/AH982*100</f>
        <v>8.0423731102711358</v>
      </c>
    </row>
    <row r="983" spans="1:36" ht="14">
      <c r="A983" s="40"/>
      <c r="B983" s="40"/>
      <c r="C983" s="124"/>
      <c r="D983" s="124"/>
      <c r="E983" s="124"/>
      <c r="F983" s="41"/>
      <c r="G983" s="41"/>
      <c r="H983" s="66"/>
      <c r="I983" s="41"/>
      <c r="J983" s="126"/>
      <c r="K983" s="204"/>
      <c r="L983" s="205"/>
      <c r="M983" s="205"/>
      <c r="N983" s="205"/>
      <c r="O983" s="205"/>
      <c r="P983" s="205"/>
      <c r="Q983" s="205"/>
      <c r="R983" s="205"/>
      <c r="S983" s="205"/>
      <c r="T983" s="205"/>
      <c r="U983" s="205"/>
      <c r="V983" s="205"/>
      <c r="W983" s="205"/>
      <c r="X983" s="205"/>
      <c r="Y983" s="205"/>
      <c r="Z983" s="205"/>
      <c r="AA983" s="205"/>
      <c r="AB983" s="205"/>
      <c r="AC983" s="205"/>
      <c r="AD983" s="205"/>
      <c r="AE983" s="205"/>
      <c r="AF983" s="205"/>
      <c r="AG983" s="205"/>
      <c r="AH983" s="205"/>
      <c r="AI983" s="205"/>
      <c r="AJ983" s="747"/>
    </row>
    <row r="984" spans="1:36" ht="32.25" customHeight="1">
      <c r="A984" s="40">
        <v>46</v>
      </c>
      <c r="B984" s="40"/>
      <c r="C984" s="124"/>
      <c r="D984" s="124"/>
      <c r="E984" s="124"/>
      <c r="F984" s="942" t="s">
        <v>375</v>
      </c>
      <c r="G984" s="935"/>
      <c r="H984" s="935"/>
      <c r="I984" s="936"/>
      <c r="J984" s="126"/>
      <c r="K984" s="204"/>
      <c r="L984" s="205"/>
      <c r="M984" s="205"/>
      <c r="N984" s="205"/>
      <c r="O984" s="205"/>
      <c r="P984" s="205"/>
      <c r="Q984" s="205"/>
      <c r="R984" s="205"/>
      <c r="S984" s="205"/>
      <c r="T984" s="205"/>
      <c r="U984" s="205"/>
      <c r="V984" s="205"/>
      <c r="W984" s="205"/>
      <c r="X984" s="205"/>
      <c r="Y984" s="205"/>
      <c r="Z984" s="205"/>
      <c r="AA984" s="205"/>
      <c r="AB984" s="205"/>
      <c r="AC984" s="205"/>
      <c r="AD984" s="205"/>
      <c r="AE984" s="205"/>
      <c r="AF984" s="205"/>
      <c r="AG984" s="205"/>
      <c r="AH984" s="205"/>
      <c r="AI984" s="205"/>
      <c r="AJ984" s="747"/>
    </row>
    <row r="985" spans="1:36" ht="12" customHeight="1">
      <c r="A985" s="40"/>
      <c r="B985" s="40"/>
      <c r="C985" s="124">
        <v>1</v>
      </c>
      <c r="D985" s="124"/>
      <c r="E985" s="124"/>
      <c r="F985" s="41"/>
      <c r="G985" s="41"/>
      <c r="H985" s="66" t="s">
        <v>35</v>
      </c>
      <c r="I985" s="125"/>
      <c r="J985" s="126"/>
      <c r="K985" s="208"/>
      <c r="L985" s="217"/>
      <c r="M985" s="217"/>
      <c r="N985" s="217"/>
      <c r="O985" s="217"/>
      <c r="P985" s="217"/>
      <c r="Q985" s="217"/>
      <c r="R985" s="217"/>
      <c r="S985" s="217"/>
      <c r="T985" s="217"/>
      <c r="U985" s="217"/>
      <c r="V985" s="217"/>
      <c r="W985" s="217"/>
      <c r="X985" s="217"/>
      <c r="Y985" s="217"/>
      <c r="Z985" s="217"/>
      <c r="AA985" s="217"/>
      <c r="AB985" s="217"/>
      <c r="AC985" s="217"/>
      <c r="AD985" s="217"/>
      <c r="AE985" s="217"/>
      <c r="AF985" s="217"/>
      <c r="AG985" s="217"/>
      <c r="AH985" s="217"/>
      <c r="AI985" s="217"/>
      <c r="AJ985" s="764"/>
    </row>
    <row r="986" spans="1:36" ht="12" customHeight="1">
      <c r="A986" s="40"/>
      <c r="B986" s="40"/>
      <c r="C986" s="124"/>
      <c r="D986" s="124">
        <v>5</v>
      </c>
      <c r="E986" s="124" t="s">
        <v>199</v>
      </c>
      <c r="F986" s="41"/>
      <c r="G986" s="41"/>
      <c r="H986" s="66"/>
      <c r="I986" s="125" t="s">
        <v>185</v>
      </c>
      <c r="J986" s="128">
        <v>228387000</v>
      </c>
      <c r="K986" s="208"/>
      <c r="L986" s="217">
        <f>SUM(J986:K986)</f>
        <v>228387000</v>
      </c>
      <c r="M986" s="217"/>
      <c r="N986" s="217"/>
      <c r="O986" s="217"/>
      <c r="P986" s="217"/>
      <c r="Q986" s="217"/>
      <c r="R986" s="217"/>
      <c r="S986" s="217">
        <f t="shared" ref="S986" si="1095">SUM(M986:R986)</f>
        <v>0</v>
      </c>
      <c r="T986" s="217">
        <f t="shared" ref="T986" si="1096">S986+L986</f>
        <v>228387000</v>
      </c>
      <c r="U986" s="217"/>
      <c r="V986" s="217"/>
      <c r="W986" s="217"/>
      <c r="X986" s="217"/>
      <c r="Y986" s="217"/>
      <c r="Z986" s="217">
        <f>SUM(U986:Y986)</f>
        <v>0</v>
      </c>
      <c r="AA986" s="217">
        <f>Z986+T986</f>
        <v>228387000</v>
      </c>
      <c r="AB986" s="217">
        <v>24522000</v>
      </c>
      <c r="AC986" s="217"/>
      <c r="AD986" s="217"/>
      <c r="AE986" s="217"/>
      <c r="AF986" s="217"/>
      <c r="AG986" s="217">
        <f t="shared" ref="AG986" si="1097">SUM(AB986:AF986)</f>
        <v>24522000</v>
      </c>
      <c r="AH986" s="217">
        <f t="shared" ref="AH986" si="1098">AG986+AA986</f>
        <v>252909000</v>
      </c>
      <c r="AI986" s="217">
        <v>239903000</v>
      </c>
      <c r="AJ986" s="764">
        <f>AI986/AH986*100</f>
        <v>94.857438841638697</v>
      </c>
    </row>
    <row r="987" spans="1:36" ht="12" customHeight="1">
      <c r="A987" s="40"/>
      <c r="B987" s="40"/>
      <c r="C987" s="124"/>
      <c r="D987" s="124"/>
      <c r="E987" s="124"/>
      <c r="F987" s="496"/>
      <c r="G987" s="497"/>
      <c r="H987" s="498"/>
      <c r="I987" s="499"/>
      <c r="J987" s="126"/>
      <c r="K987" s="208"/>
      <c r="L987" s="217"/>
      <c r="M987" s="217"/>
      <c r="N987" s="217"/>
      <c r="O987" s="217"/>
      <c r="P987" s="217"/>
      <c r="Q987" s="217"/>
      <c r="R987" s="217"/>
      <c r="S987" s="217"/>
      <c r="T987" s="217"/>
      <c r="U987" s="217"/>
      <c r="V987" s="217"/>
      <c r="W987" s="217"/>
      <c r="X987" s="217"/>
      <c r="Y987" s="217"/>
      <c r="Z987" s="217"/>
      <c r="AA987" s="217"/>
      <c r="AB987" s="217"/>
      <c r="AC987" s="217"/>
      <c r="AD987" s="217"/>
      <c r="AE987" s="217"/>
      <c r="AF987" s="217"/>
      <c r="AG987" s="217"/>
      <c r="AH987" s="217"/>
      <c r="AI987" s="217"/>
      <c r="AJ987" s="764"/>
    </row>
    <row r="988" spans="1:36" ht="12" customHeight="1">
      <c r="A988" s="40"/>
      <c r="B988" s="40"/>
      <c r="C988" s="124"/>
      <c r="D988" s="124"/>
      <c r="E988" s="124"/>
      <c r="F988" s="491"/>
      <c r="G988" s="42"/>
      <c r="H988" s="129"/>
      <c r="I988" s="130" t="s">
        <v>37</v>
      </c>
      <c r="J988" s="131">
        <f>SUM(J986:J987)</f>
        <v>228387000</v>
      </c>
      <c r="K988" s="209"/>
      <c r="L988" s="218">
        <f>SUM(L986:L987)</f>
        <v>228387000</v>
      </c>
      <c r="M988" s="218">
        <f t="shared" ref="M988:T988" si="1099">SUM(M986:M987)</f>
        <v>0</v>
      </c>
      <c r="N988" s="218">
        <f t="shared" si="1099"/>
        <v>0</v>
      </c>
      <c r="O988" s="218">
        <f t="shared" si="1099"/>
        <v>0</v>
      </c>
      <c r="P988" s="218">
        <f t="shared" si="1099"/>
        <v>0</v>
      </c>
      <c r="Q988" s="218">
        <f t="shared" si="1099"/>
        <v>0</v>
      </c>
      <c r="R988" s="218">
        <f t="shared" si="1099"/>
        <v>0</v>
      </c>
      <c r="S988" s="218">
        <f t="shared" si="1099"/>
        <v>0</v>
      </c>
      <c r="T988" s="218">
        <f t="shared" si="1099"/>
        <v>228387000</v>
      </c>
      <c r="U988" s="218"/>
      <c r="V988" s="218"/>
      <c r="W988" s="218"/>
      <c r="X988" s="218"/>
      <c r="Y988" s="218"/>
      <c r="Z988" s="218">
        <f t="shared" ref="Z988:AB988" si="1100">SUM(Z986:Z987)</f>
        <v>0</v>
      </c>
      <c r="AA988" s="218">
        <f t="shared" si="1100"/>
        <v>228387000</v>
      </c>
      <c r="AB988" s="218">
        <f t="shared" si="1100"/>
        <v>24522000</v>
      </c>
      <c r="AC988" s="218"/>
      <c r="AD988" s="218"/>
      <c r="AE988" s="218"/>
      <c r="AF988" s="218"/>
      <c r="AG988" s="218">
        <f t="shared" ref="AG988:AI988" si="1101">SUM(AG986:AG987)</f>
        <v>24522000</v>
      </c>
      <c r="AH988" s="218">
        <f t="shared" si="1101"/>
        <v>252909000</v>
      </c>
      <c r="AI988" s="218">
        <f t="shared" si="1101"/>
        <v>239903000</v>
      </c>
      <c r="AJ988" s="771">
        <f>AI988/AH988*100</f>
        <v>94.857438841638697</v>
      </c>
    </row>
    <row r="989" spans="1:36" ht="14">
      <c r="A989" s="40"/>
      <c r="B989" s="40"/>
      <c r="C989" s="124"/>
      <c r="D989" s="124"/>
      <c r="E989" s="124"/>
      <c r="F989" s="41"/>
      <c r="G989" s="41"/>
      <c r="H989" s="66"/>
      <c r="I989" s="41"/>
      <c r="J989" s="126"/>
      <c r="K989" s="204"/>
      <c r="L989" s="205"/>
      <c r="M989" s="205"/>
      <c r="N989" s="205"/>
      <c r="O989" s="205"/>
      <c r="P989" s="205"/>
      <c r="Q989" s="205"/>
      <c r="R989" s="205"/>
      <c r="S989" s="205"/>
      <c r="T989" s="205"/>
      <c r="U989" s="205"/>
      <c r="V989" s="205"/>
      <c r="W989" s="205"/>
      <c r="X989" s="205"/>
      <c r="Y989" s="205"/>
      <c r="Z989" s="205"/>
      <c r="AA989" s="205"/>
      <c r="AB989" s="205"/>
      <c r="AC989" s="205"/>
      <c r="AD989" s="205"/>
      <c r="AE989" s="205"/>
      <c r="AF989" s="205"/>
      <c r="AG989" s="205"/>
      <c r="AH989" s="205"/>
      <c r="AI989" s="205"/>
      <c r="AJ989" s="747"/>
    </row>
    <row r="990" spans="1:36" ht="14">
      <c r="A990" s="40">
        <v>47</v>
      </c>
      <c r="B990" s="40"/>
      <c r="C990" s="124"/>
      <c r="D990" s="124"/>
      <c r="E990" s="124"/>
      <c r="F990" s="942" t="s">
        <v>440</v>
      </c>
      <c r="G990" s="935"/>
      <c r="H990" s="935"/>
      <c r="I990" s="936"/>
      <c r="J990" s="126"/>
      <c r="K990" s="204"/>
      <c r="L990" s="205"/>
      <c r="M990" s="205"/>
      <c r="N990" s="205"/>
      <c r="O990" s="205"/>
      <c r="P990" s="205"/>
      <c r="Q990" s="205"/>
      <c r="R990" s="205"/>
      <c r="S990" s="205"/>
      <c r="T990" s="205"/>
      <c r="U990" s="205"/>
      <c r="V990" s="205"/>
      <c r="W990" s="205"/>
      <c r="X990" s="205"/>
      <c r="Y990" s="205"/>
      <c r="Z990" s="205"/>
      <c r="AA990" s="205"/>
      <c r="AB990" s="205"/>
      <c r="AC990" s="205"/>
      <c r="AD990" s="205"/>
      <c r="AE990" s="205"/>
      <c r="AF990" s="205"/>
      <c r="AG990" s="205"/>
      <c r="AH990" s="205"/>
      <c r="AI990" s="205"/>
      <c r="AJ990" s="747"/>
    </row>
    <row r="991" spans="1:36" ht="14">
      <c r="A991" s="40"/>
      <c r="B991" s="40"/>
      <c r="C991" s="124">
        <v>1</v>
      </c>
      <c r="D991" s="124"/>
      <c r="E991" s="124"/>
      <c r="F991" s="41"/>
      <c r="G991" s="41"/>
      <c r="H991" s="66" t="s">
        <v>35</v>
      </c>
      <c r="I991" s="125"/>
      <c r="J991" s="126"/>
      <c r="K991" s="208"/>
      <c r="L991" s="217"/>
      <c r="M991" s="217"/>
      <c r="N991" s="217"/>
      <c r="O991" s="217"/>
      <c r="P991" s="217"/>
      <c r="Q991" s="217"/>
      <c r="R991" s="217"/>
      <c r="S991" s="217"/>
      <c r="T991" s="217"/>
      <c r="U991" s="217"/>
      <c r="V991" s="217"/>
      <c r="W991" s="217"/>
      <c r="X991" s="217"/>
      <c r="Y991" s="217"/>
      <c r="Z991" s="217"/>
      <c r="AA991" s="217"/>
      <c r="AB991" s="217"/>
      <c r="AC991" s="217"/>
      <c r="AD991" s="217"/>
      <c r="AE991" s="217"/>
      <c r="AF991" s="217"/>
      <c r="AG991" s="217"/>
      <c r="AH991" s="217"/>
      <c r="AI991" s="217"/>
      <c r="AJ991" s="764"/>
    </row>
    <row r="992" spans="1:36" ht="14">
      <c r="A992" s="40"/>
      <c r="B992" s="40"/>
      <c r="C992" s="124"/>
      <c r="D992" s="124">
        <v>5</v>
      </c>
      <c r="E992" s="124" t="s">
        <v>199</v>
      </c>
      <c r="F992" s="41"/>
      <c r="G992" s="41"/>
      <c r="H992" s="66"/>
      <c r="I992" s="125" t="s">
        <v>185</v>
      </c>
      <c r="J992" s="128">
        <v>45000000</v>
      </c>
      <c r="K992" s="208"/>
      <c r="L992" s="217">
        <f>SUM(J992:K992)</f>
        <v>45000000</v>
      </c>
      <c r="M992" s="217"/>
      <c r="N992" s="217"/>
      <c r="O992" s="217"/>
      <c r="P992" s="217"/>
      <c r="Q992" s="217"/>
      <c r="R992" s="217"/>
      <c r="S992" s="217">
        <f t="shared" ref="S992" si="1102">SUM(M992:R992)</f>
        <v>0</v>
      </c>
      <c r="T992" s="217">
        <f t="shared" ref="T992" si="1103">S992+L992</f>
        <v>45000000</v>
      </c>
      <c r="U992" s="217"/>
      <c r="V992" s="217"/>
      <c r="W992" s="217"/>
      <c r="X992" s="217"/>
      <c r="Y992" s="217"/>
      <c r="Z992" s="217">
        <f>SUM(U992:Y992)</f>
        <v>0</v>
      </c>
      <c r="AA992" s="217">
        <f>Z992+T992</f>
        <v>45000000</v>
      </c>
      <c r="AB992" s="217"/>
      <c r="AC992" s="217"/>
      <c r="AD992" s="217"/>
      <c r="AE992" s="217"/>
      <c r="AF992" s="217"/>
      <c r="AG992" s="217">
        <f t="shared" ref="AG992" si="1104">SUM(AB992:AF992)</f>
        <v>0</v>
      </c>
      <c r="AH992" s="217">
        <f t="shared" ref="AH992" si="1105">AG992+AA992</f>
        <v>45000000</v>
      </c>
      <c r="AI992" s="217">
        <v>45000000</v>
      </c>
      <c r="AJ992" s="764">
        <f>AI992/AH992*100</f>
        <v>100</v>
      </c>
    </row>
    <row r="993" spans="1:36" ht="14">
      <c r="A993" s="40"/>
      <c r="B993" s="40"/>
      <c r="C993" s="124"/>
      <c r="D993" s="124"/>
      <c r="E993" s="124"/>
      <c r="F993" s="41"/>
      <c r="G993" s="41"/>
      <c r="H993" s="66"/>
      <c r="I993" s="125"/>
      <c r="J993" s="128"/>
      <c r="K993" s="208"/>
      <c r="L993" s="217"/>
      <c r="M993" s="217"/>
      <c r="N993" s="217"/>
      <c r="O993" s="217"/>
      <c r="P993" s="217"/>
      <c r="Q993" s="217"/>
      <c r="R993" s="217"/>
      <c r="S993" s="217"/>
      <c r="T993" s="217"/>
      <c r="U993" s="217"/>
      <c r="V993" s="217"/>
      <c r="W993" s="217"/>
      <c r="X993" s="217"/>
      <c r="Y993" s="217"/>
      <c r="Z993" s="217"/>
      <c r="AA993" s="217"/>
      <c r="AB993" s="217"/>
      <c r="AC993" s="217"/>
      <c r="AD993" s="217"/>
      <c r="AE993" s="217"/>
      <c r="AF993" s="217"/>
      <c r="AG993" s="217"/>
      <c r="AH993" s="217"/>
      <c r="AI993" s="217"/>
      <c r="AJ993" s="764"/>
    </row>
    <row r="994" spans="1:36" ht="14">
      <c r="A994" s="40"/>
      <c r="B994" s="40"/>
      <c r="C994" s="124"/>
      <c r="D994" s="124"/>
      <c r="E994" s="124"/>
      <c r="F994" s="491"/>
      <c r="G994" s="42"/>
      <c r="H994" s="129"/>
      <c r="I994" s="130" t="s">
        <v>37</v>
      </c>
      <c r="J994" s="131">
        <f>SUM(J992:J992)</f>
        <v>45000000</v>
      </c>
      <c r="K994" s="209"/>
      <c r="L994" s="218">
        <f>SUM(L992:L992)</f>
        <v>45000000</v>
      </c>
      <c r="M994" s="218">
        <f t="shared" ref="M994:T994" si="1106">SUM(M992:M992)</f>
        <v>0</v>
      </c>
      <c r="N994" s="218">
        <f t="shared" si="1106"/>
        <v>0</v>
      </c>
      <c r="O994" s="218">
        <f t="shared" si="1106"/>
        <v>0</v>
      </c>
      <c r="P994" s="218">
        <f t="shared" si="1106"/>
        <v>0</v>
      </c>
      <c r="Q994" s="218">
        <f t="shared" si="1106"/>
        <v>0</v>
      </c>
      <c r="R994" s="218">
        <f t="shared" si="1106"/>
        <v>0</v>
      </c>
      <c r="S994" s="218">
        <f t="shared" si="1106"/>
        <v>0</v>
      </c>
      <c r="T994" s="218">
        <f t="shared" si="1106"/>
        <v>45000000</v>
      </c>
      <c r="U994" s="218"/>
      <c r="V994" s="218"/>
      <c r="W994" s="218"/>
      <c r="X994" s="218"/>
      <c r="Y994" s="218"/>
      <c r="Z994" s="218">
        <f t="shared" ref="Z994:AA994" si="1107">SUM(Z992:Z992)</f>
        <v>0</v>
      </c>
      <c r="AA994" s="218">
        <f t="shared" si="1107"/>
        <v>45000000</v>
      </c>
      <c r="AB994" s="218"/>
      <c r="AC994" s="218"/>
      <c r="AD994" s="218"/>
      <c r="AE994" s="218"/>
      <c r="AF994" s="218"/>
      <c r="AG994" s="218">
        <f t="shared" ref="AG994:AI994" si="1108">SUM(AG992:AG992)</f>
        <v>0</v>
      </c>
      <c r="AH994" s="218">
        <f t="shared" si="1108"/>
        <v>45000000</v>
      </c>
      <c r="AI994" s="218">
        <f t="shared" si="1108"/>
        <v>45000000</v>
      </c>
      <c r="AJ994" s="771">
        <f>AI994/AH994*100</f>
        <v>100</v>
      </c>
    </row>
    <row r="995" spans="1:36" ht="14">
      <c r="A995" s="40"/>
      <c r="B995" s="40"/>
      <c r="C995" s="124"/>
      <c r="D995" s="124"/>
      <c r="E995" s="124"/>
      <c r="F995" s="41"/>
      <c r="G995" s="41"/>
      <c r="H995" s="66"/>
      <c r="I995" s="41"/>
      <c r="J995" s="126"/>
      <c r="K995" s="204"/>
      <c r="L995" s="205"/>
      <c r="M995" s="205"/>
      <c r="N995" s="205"/>
      <c r="O995" s="205"/>
      <c r="P995" s="205"/>
      <c r="Q995" s="205"/>
      <c r="R995" s="205"/>
      <c r="S995" s="205"/>
      <c r="T995" s="205"/>
      <c r="U995" s="205"/>
      <c r="V995" s="205"/>
      <c r="W995" s="205"/>
      <c r="X995" s="205"/>
      <c r="Y995" s="205"/>
      <c r="Z995" s="205"/>
      <c r="AA995" s="205"/>
      <c r="AB995" s="205"/>
      <c r="AC995" s="205"/>
      <c r="AD995" s="205"/>
      <c r="AE995" s="205"/>
      <c r="AF995" s="205"/>
      <c r="AG995" s="205"/>
      <c r="AH995" s="205"/>
      <c r="AI995" s="205"/>
      <c r="AJ995" s="747"/>
    </row>
    <row r="996" spans="1:36" ht="14">
      <c r="A996" s="40">
        <v>48</v>
      </c>
      <c r="B996" s="40"/>
      <c r="C996" s="124"/>
      <c r="D996" s="124"/>
      <c r="E996" s="124"/>
      <c r="F996" s="942" t="s">
        <v>533</v>
      </c>
      <c r="G996" s="935"/>
      <c r="H996" s="935"/>
      <c r="I996" s="936"/>
      <c r="J996" s="126"/>
      <c r="K996" s="204"/>
      <c r="L996" s="205"/>
      <c r="M996" s="205"/>
      <c r="N996" s="205"/>
      <c r="O996" s="205"/>
      <c r="P996" s="205"/>
      <c r="Q996" s="205"/>
      <c r="R996" s="205"/>
      <c r="S996" s="205"/>
      <c r="T996" s="205"/>
      <c r="U996" s="205"/>
      <c r="V996" s="205"/>
      <c r="W996" s="205"/>
      <c r="X996" s="205"/>
      <c r="Y996" s="205"/>
      <c r="Z996" s="205"/>
      <c r="AA996" s="205"/>
      <c r="AB996" s="205"/>
      <c r="AC996" s="205"/>
      <c r="AD996" s="205"/>
      <c r="AE996" s="205"/>
      <c r="AF996" s="205"/>
      <c r="AG996" s="205"/>
      <c r="AH996" s="205"/>
      <c r="AI996" s="205"/>
      <c r="AJ996" s="747"/>
    </row>
    <row r="997" spans="1:36" ht="14">
      <c r="A997" s="40"/>
      <c r="B997" s="40"/>
      <c r="C997" s="124">
        <v>1</v>
      </c>
      <c r="D997" s="124"/>
      <c r="E997" s="124"/>
      <c r="F997" s="41"/>
      <c r="G997" s="41"/>
      <c r="H997" s="66" t="s">
        <v>35</v>
      </c>
      <c r="I997" s="125"/>
      <c r="J997" s="126"/>
      <c r="K997" s="208"/>
      <c r="L997" s="217"/>
      <c r="M997" s="217"/>
      <c r="N997" s="217"/>
      <c r="O997" s="217"/>
      <c r="P997" s="217"/>
      <c r="Q997" s="217"/>
      <c r="R997" s="217"/>
      <c r="S997" s="217"/>
      <c r="T997" s="217"/>
      <c r="U997" s="217"/>
      <c r="V997" s="217"/>
      <c r="W997" s="217"/>
      <c r="X997" s="217"/>
      <c r="Y997" s="217"/>
      <c r="Z997" s="217"/>
      <c r="AA997" s="217"/>
      <c r="AB997" s="217"/>
      <c r="AC997" s="217"/>
      <c r="AD997" s="217"/>
      <c r="AE997" s="217"/>
      <c r="AF997" s="217"/>
      <c r="AG997" s="217"/>
      <c r="AH997" s="217"/>
      <c r="AI997" s="217"/>
      <c r="AJ997" s="764"/>
    </row>
    <row r="998" spans="1:36" ht="14">
      <c r="A998" s="40"/>
      <c r="B998" s="40"/>
      <c r="C998" s="124"/>
      <c r="D998" s="124">
        <v>5</v>
      </c>
      <c r="E998" s="124" t="s">
        <v>198</v>
      </c>
      <c r="F998" s="41"/>
      <c r="G998" s="41"/>
      <c r="H998" s="66"/>
      <c r="I998" s="125" t="s">
        <v>185</v>
      </c>
      <c r="J998" s="128">
        <v>20500000</v>
      </c>
      <c r="K998" s="208"/>
      <c r="L998" s="217">
        <f>SUM(J998:K998)</f>
        <v>20500000</v>
      </c>
      <c r="M998" s="217"/>
      <c r="N998" s="217"/>
      <c r="O998" s="217"/>
      <c r="P998" s="217"/>
      <c r="Q998" s="217"/>
      <c r="R998" s="217"/>
      <c r="S998" s="217">
        <f t="shared" ref="S998" si="1109">SUM(M998:R998)</f>
        <v>0</v>
      </c>
      <c r="T998" s="217">
        <f t="shared" ref="T998" si="1110">S998+L998</f>
        <v>20500000</v>
      </c>
      <c r="U998" s="217"/>
      <c r="V998" s="217"/>
      <c r="W998" s="217"/>
      <c r="X998" s="217"/>
      <c r="Y998" s="217"/>
      <c r="Z998" s="217">
        <f>SUM(U998:Y998)</f>
        <v>0</v>
      </c>
      <c r="AA998" s="217">
        <f>Z998+T998</f>
        <v>20500000</v>
      </c>
      <c r="AB998" s="217"/>
      <c r="AC998" s="217"/>
      <c r="AD998" s="217"/>
      <c r="AE998" s="217"/>
      <c r="AF998" s="217"/>
      <c r="AG998" s="217">
        <f t="shared" ref="AG998" si="1111">SUM(AB998:AF998)</f>
        <v>0</v>
      </c>
      <c r="AH998" s="217">
        <f t="shared" ref="AH998" si="1112">AG998+AA998</f>
        <v>20500000</v>
      </c>
      <c r="AI998" s="217">
        <v>20500000</v>
      </c>
      <c r="AJ998" s="764">
        <f>AI998/AH998*100</f>
        <v>100</v>
      </c>
    </row>
    <row r="999" spans="1:36" ht="14">
      <c r="A999" s="40"/>
      <c r="B999" s="40"/>
      <c r="C999" s="124"/>
      <c r="D999" s="124"/>
      <c r="E999" s="124"/>
      <c r="F999" s="496"/>
      <c r="G999" s="497"/>
      <c r="H999" s="498"/>
      <c r="I999" s="499"/>
      <c r="J999" s="126"/>
      <c r="K999" s="208"/>
      <c r="L999" s="217"/>
      <c r="M999" s="217"/>
      <c r="N999" s="217"/>
      <c r="O999" s="217"/>
      <c r="P999" s="217"/>
      <c r="Q999" s="217"/>
      <c r="R999" s="217"/>
      <c r="S999" s="217"/>
      <c r="T999" s="217"/>
      <c r="U999" s="217"/>
      <c r="V999" s="217"/>
      <c r="W999" s="217"/>
      <c r="X999" s="217"/>
      <c r="Y999" s="217"/>
      <c r="Z999" s="217"/>
      <c r="AA999" s="217"/>
      <c r="AB999" s="217"/>
      <c r="AC999" s="217"/>
      <c r="AD999" s="217"/>
      <c r="AE999" s="217"/>
      <c r="AF999" s="217"/>
      <c r="AG999" s="217"/>
      <c r="AH999" s="217"/>
      <c r="AI999" s="217"/>
      <c r="AJ999" s="764"/>
    </row>
    <row r="1000" spans="1:36" ht="14">
      <c r="A1000" s="40"/>
      <c r="B1000" s="40"/>
      <c r="C1000" s="124"/>
      <c r="D1000" s="124"/>
      <c r="E1000" s="124"/>
      <c r="F1000" s="491"/>
      <c r="G1000" s="42"/>
      <c r="H1000" s="129"/>
      <c r="I1000" s="130" t="s">
        <v>37</v>
      </c>
      <c r="J1000" s="131">
        <f>SUM(J998:J999)</f>
        <v>20500000</v>
      </c>
      <c r="K1000" s="209"/>
      <c r="L1000" s="218">
        <f>SUM(L998:L999)</f>
        <v>20500000</v>
      </c>
      <c r="M1000" s="218">
        <f t="shared" ref="M1000:T1000" si="1113">SUM(M998:M999)</f>
        <v>0</v>
      </c>
      <c r="N1000" s="218">
        <f t="shared" si="1113"/>
        <v>0</v>
      </c>
      <c r="O1000" s="218">
        <f t="shared" si="1113"/>
        <v>0</v>
      </c>
      <c r="P1000" s="218">
        <f t="shared" si="1113"/>
        <v>0</v>
      </c>
      <c r="Q1000" s="218">
        <f t="shared" si="1113"/>
        <v>0</v>
      </c>
      <c r="R1000" s="218">
        <f t="shared" si="1113"/>
        <v>0</v>
      </c>
      <c r="S1000" s="218">
        <f t="shared" si="1113"/>
        <v>0</v>
      </c>
      <c r="T1000" s="218">
        <f t="shared" si="1113"/>
        <v>20500000</v>
      </c>
      <c r="U1000" s="218"/>
      <c r="V1000" s="218"/>
      <c r="W1000" s="218"/>
      <c r="X1000" s="218"/>
      <c r="Y1000" s="218"/>
      <c r="Z1000" s="218">
        <f t="shared" ref="Z1000:AA1000" si="1114">SUM(Z998:Z999)</f>
        <v>0</v>
      </c>
      <c r="AA1000" s="218">
        <f t="shared" si="1114"/>
        <v>20500000</v>
      </c>
      <c r="AB1000" s="218"/>
      <c r="AC1000" s="218"/>
      <c r="AD1000" s="218"/>
      <c r="AE1000" s="218"/>
      <c r="AF1000" s="218"/>
      <c r="AG1000" s="218">
        <f t="shared" ref="AG1000:AI1000" si="1115">SUM(AG998:AG999)</f>
        <v>0</v>
      </c>
      <c r="AH1000" s="218">
        <f t="shared" si="1115"/>
        <v>20500000</v>
      </c>
      <c r="AI1000" s="218">
        <f t="shared" si="1115"/>
        <v>20500000</v>
      </c>
      <c r="AJ1000" s="771">
        <f>AI1000/AH1000*100</f>
        <v>100</v>
      </c>
    </row>
    <row r="1001" spans="1:36" ht="16.5" customHeight="1">
      <c r="A1001" s="40"/>
      <c r="B1001" s="40"/>
      <c r="C1001" s="124"/>
      <c r="D1001" s="124"/>
      <c r="E1001" s="124"/>
      <c r="F1001" s="451"/>
      <c r="G1001" s="41"/>
      <c r="H1001" s="66"/>
      <c r="I1001" s="41"/>
      <c r="J1001" s="132"/>
      <c r="K1001" s="210"/>
      <c r="L1001" s="219"/>
      <c r="M1001" s="219"/>
      <c r="N1001" s="219"/>
      <c r="O1001" s="219"/>
      <c r="P1001" s="219"/>
      <c r="Q1001" s="219"/>
      <c r="R1001" s="219"/>
      <c r="S1001" s="219"/>
      <c r="T1001" s="219"/>
      <c r="U1001" s="219"/>
      <c r="V1001" s="219"/>
      <c r="W1001" s="219"/>
      <c r="X1001" s="219"/>
      <c r="Y1001" s="219"/>
      <c r="Z1001" s="219"/>
      <c r="AA1001" s="219"/>
      <c r="AB1001" s="219"/>
      <c r="AC1001" s="219"/>
      <c r="AD1001" s="219"/>
      <c r="AE1001" s="219"/>
      <c r="AF1001" s="219"/>
      <c r="AG1001" s="219"/>
      <c r="AH1001" s="219"/>
      <c r="AI1001" s="219"/>
      <c r="AJ1001" s="777"/>
    </row>
    <row r="1002" spans="1:36" ht="16.5" customHeight="1">
      <c r="A1002" s="40">
        <v>49</v>
      </c>
      <c r="B1002" s="40"/>
      <c r="C1002" s="124"/>
      <c r="D1002" s="124"/>
      <c r="E1002" s="124"/>
      <c r="F1002" s="41" t="s">
        <v>207</v>
      </c>
      <c r="G1002" s="41"/>
      <c r="H1002" s="66"/>
      <c r="I1002" s="506"/>
      <c r="J1002" s="132"/>
      <c r="K1002" s="210"/>
      <c r="L1002" s="219"/>
      <c r="M1002" s="219"/>
      <c r="N1002" s="219"/>
      <c r="O1002" s="219"/>
      <c r="P1002" s="219"/>
      <c r="Q1002" s="219"/>
      <c r="R1002" s="219"/>
      <c r="S1002" s="219"/>
      <c r="T1002" s="219"/>
      <c r="U1002" s="219"/>
      <c r="V1002" s="219"/>
      <c r="W1002" s="219"/>
      <c r="X1002" s="219"/>
      <c r="Y1002" s="219"/>
      <c r="Z1002" s="219"/>
      <c r="AA1002" s="219"/>
      <c r="AB1002" s="219"/>
      <c r="AC1002" s="219"/>
      <c r="AD1002" s="219"/>
      <c r="AE1002" s="219"/>
      <c r="AF1002" s="219"/>
      <c r="AG1002" s="219"/>
      <c r="AH1002" s="219"/>
      <c r="AI1002" s="219"/>
      <c r="AJ1002" s="777"/>
    </row>
    <row r="1003" spans="1:36" ht="16.5" customHeight="1">
      <c r="A1003" s="40"/>
      <c r="B1003" s="40"/>
      <c r="C1003" s="124">
        <v>1</v>
      </c>
      <c r="D1003" s="124"/>
      <c r="E1003" s="124"/>
      <c r="F1003" s="451"/>
      <c r="G1003" s="41"/>
      <c r="H1003" s="66" t="s">
        <v>35</v>
      </c>
      <c r="I1003" s="506"/>
      <c r="J1003" s="132"/>
      <c r="K1003" s="210"/>
      <c r="L1003" s="219"/>
      <c r="M1003" s="219"/>
      <c r="N1003" s="219"/>
      <c r="O1003" s="219"/>
      <c r="P1003" s="219"/>
      <c r="Q1003" s="219"/>
      <c r="R1003" s="219"/>
      <c r="S1003" s="219"/>
      <c r="T1003" s="219"/>
      <c r="U1003" s="219"/>
      <c r="V1003" s="219"/>
      <c r="W1003" s="219"/>
      <c r="X1003" s="219"/>
      <c r="Y1003" s="219"/>
      <c r="Z1003" s="219"/>
      <c r="AA1003" s="219"/>
      <c r="AB1003" s="219"/>
      <c r="AC1003" s="219"/>
      <c r="AD1003" s="219"/>
      <c r="AE1003" s="219"/>
      <c r="AF1003" s="219"/>
      <c r="AG1003" s="219"/>
      <c r="AH1003" s="219"/>
      <c r="AI1003" s="219"/>
      <c r="AJ1003" s="777"/>
    </row>
    <row r="1004" spans="1:36" ht="16.5" customHeight="1">
      <c r="A1004" s="40"/>
      <c r="B1004" s="40"/>
      <c r="C1004" s="124"/>
      <c r="D1004" s="124">
        <v>5</v>
      </c>
      <c r="E1004" s="124" t="s">
        <v>198</v>
      </c>
      <c r="F1004" s="451"/>
      <c r="G1004" s="41"/>
      <c r="H1004" s="66"/>
      <c r="I1004" s="125" t="s">
        <v>185</v>
      </c>
      <c r="J1004" s="128">
        <v>50000000</v>
      </c>
      <c r="K1004" s="210"/>
      <c r="L1004" s="217">
        <f>SUM(J1004:K1004)</f>
        <v>50000000</v>
      </c>
      <c r="M1004" s="217"/>
      <c r="N1004" s="217"/>
      <c r="O1004" s="217"/>
      <c r="P1004" s="217"/>
      <c r="Q1004" s="217"/>
      <c r="R1004" s="217"/>
      <c r="S1004" s="217">
        <f t="shared" ref="S1004" si="1116">SUM(M1004:R1004)</f>
        <v>0</v>
      </c>
      <c r="T1004" s="217">
        <f t="shared" ref="T1004" si="1117">S1004+L1004</f>
        <v>50000000</v>
      </c>
      <c r="U1004" s="217"/>
      <c r="V1004" s="217"/>
      <c r="W1004" s="217"/>
      <c r="X1004" s="217"/>
      <c r="Y1004" s="217"/>
      <c r="Z1004" s="217">
        <f>SUM(U1004:Y1004)</f>
        <v>0</v>
      </c>
      <c r="AA1004" s="217">
        <f>Z1004+T1004</f>
        <v>50000000</v>
      </c>
      <c r="AB1004" s="217"/>
      <c r="AC1004" s="217"/>
      <c r="AD1004" s="217"/>
      <c r="AE1004" s="217"/>
      <c r="AF1004" s="217"/>
      <c r="AG1004" s="217">
        <f t="shared" ref="AG1004" si="1118">SUM(AB1004:AF1004)</f>
        <v>0</v>
      </c>
      <c r="AH1004" s="217">
        <f t="shared" ref="AH1004" si="1119">AG1004+AA1004</f>
        <v>50000000</v>
      </c>
      <c r="AI1004" s="217">
        <v>50000000</v>
      </c>
      <c r="AJ1004" s="764">
        <f>AI1004/AH1004*100</f>
        <v>100</v>
      </c>
    </row>
    <row r="1005" spans="1:36" ht="16.5" customHeight="1">
      <c r="A1005" s="40"/>
      <c r="B1005" s="40"/>
      <c r="C1005" s="124"/>
      <c r="D1005" s="124"/>
      <c r="E1005" s="124"/>
      <c r="F1005" s="41"/>
      <c r="G1005" s="41"/>
      <c r="H1005" s="66"/>
      <c r="I1005" s="506"/>
      <c r="J1005" s="132"/>
      <c r="K1005" s="210"/>
      <c r="L1005" s="219"/>
      <c r="M1005" s="219"/>
      <c r="N1005" s="219"/>
      <c r="O1005" s="219"/>
      <c r="P1005" s="219"/>
      <c r="Q1005" s="219"/>
      <c r="R1005" s="219"/>
      <c r="S1005" s="217"/>
      <c r="T1005" s="217"/>
      <c r="U1005" s="219"/>
      <c r="V1005" s="219"/>
      <c r="W1005" s="219"/>
      <c r="X1005" s="219"/>
      <c r="Y1005" s="219"/>
      <c r="Z1005" s="217"/>
      <c r="AA1005" s="217"/>
      <c r="AB1005" s="219"/>
      <c r="AC1005" s="219"/>
      <c r="AD1005" s="219"/>
      <c r="AE1005" s="219"/>
      <c r="AF1005" s="219"/>
      <c r="AG1005" s="217"/>
      <c r="AH1005" s="217"/>
      <c r="AI1005" s="217"/>
      <c r="AJ1005" s="764"/>
    </row>
    <row r="1006" spans="1:36" ht="16.5" customHeight="1">
      <c r="A1006" s="40"/>
      <c r="B1006" s="40"/>
      <c r="C1006" s="124"/>
      <c r="D1006" s="124"/>
      <c r="E1006" s="124"/>
      <c r="F1006" s="42"/>
      <c r="G1006" s="42"/>
      <c r="H1006" s="129"/>
      <c r="I1006" s="507" t="s">
        <v>37</v>
      </c>
      <c r="J1006" s="131">
        <f>SUM(J1004:J1005)</f>
        <v>50000000</v>
      </c>
      <c r="K1006" s="209"/>
      <c r="L1006" s="218">
        <f>SUM(L1004:L1005)</f>
        <v>50000000</v>
      </c>
      <c r="M1006" s="218">
        <f t="shared" ref="M1006:T1006" si="1120">SUM(M1004:M1005)</f>
        <v>0</v>
      </c>
      <c r="N1006" s="218">
        <f t="shared" si="1120"/>
        <v>0</v>
      </c>
      <c r="O1006" s="218">
        <f t="shared" si="1120"/>
        <v>0</v>
      </c>
      <c r="P1006" s="218">
        <f t="shared" si="1120"/>
        <v>0</v>
      </c>
      <c r="Q1006" s="218">
        <f t="shared" si="1120"/>
        <v>0</v>
      </c>
      <c r="R1006" s="218">
        <f t="shared" si="1120"/>
        <v>0</v>
      </c>
      <c r="S1006" s="218">
        <f t="shared" si="1120"/>
        <v>0</v>
      </c>
      <c r="T1006" s="218">
        <f t="shared" si="1120"/>
        <v>50000000</v>
      </c>
      <c r="U1006" s="218"/>
      <c r="V1006" s="218"/>
      <c r="W1006" s="218"/>
      <c r="X1006" s="218"/>
      <c r="Y1006" s="218"/>
      <c r="Z1006" s="218">
        <f t="shared" ref="Z1006:AA1006" si="1121">SUM(Z1004:Z1005)</f>
        <v>0</v>
      </c>
      <c r="AA1006" s="218">
        <f t="shared" si="1121"/>
        <v>50000000</v>
      </c>
      <c r="AB1006" s="218"/>
      <c r="AC1006" s="218"/>
      <c r="AD1006" s="218"/>
      <c r="AE1006" s="218"/>
      <c r="AF1006" s="218"/>
      <c r="AG1006" s="218">
        <f t="shared" ref="AG1006:AI1006" si="1122">SUM(AG1004:AG1005)</f>
        <v>0</v>
      </c>
      <c r="AH1006" s="218">
        <f t="shared" si="1122"/>
        <v>50000000</v>
      </c>
      <c r="AI1006" s="218">
        <f t="shared" si="1122"/>
        <v>50000000</v>
      </c>
      <c r="AJ1006" s="771">
        <f>AI1006/AH1006*100</f>
        <v>100</v>
      </c>
    </row>
    <row r="1007" spans="1:36" ht="12" customHeight="1">
      <c r="A1007" s="40"/>
      <c r="B1007" s="40"/>
      <c r="C1007" s="124"/>
      <c r="D1007" s="124"/>
      <c r="E1007" s="124"/>
      <c r="F1007" s="41"/>
      <c r="G1007" s="41"/>
      <c r="H1007" s="66"/>
      <c r="I1007" s="41"/>
      <c r="J1007" s="132"/>
      <c r="K1007" s="210"/>
      <c r="L1007" s="219"/>
      <c r="M1007" s="219"/>
      <c r="N1007" s="219"/>
      <c r="O1007" s="219"/>
      <c r="P1007" s="219"/>
      <c r="Q1007" s="219"/>
      <c r="R1007" s="219"/>
      <c r="S1007" s="219"/>
      <c r="T1007" s="219"/>
      <c r="U1007" s="219"/>
      <c r="V1007" s="219"/>
      <c r="W1007" s="219"/>
      <c r="X1007" s="219"/>
      <c r="Y1007" s="219"/>
      <c r="Z1007" s="219"/>
      <c r="AA1007" s="219"/>
      <c r="AB1007" s="219"/>
      <c r="AC1007" s="219"/>
      <c r="AD1007" s="219"/>
      <c r="AE1007" s="219"/>
      <c r="AF1007" s="219"/>
      <c r="AG1007" s="219"/>
      <c r="AH1007" s="219"/>
      <c r="AI1007" s="219"/>
      <c r="AJ1007" s="777"/>
    </row>
    <row r="1008" spans="1:36" ht="16.5" customHeight="1">
      <c r="A1008" s="40">
        <v>50</v>
      </c>
      <c r="B1008" s="40"/>
      <c r="C1008" s="124"/>
      <c r="D1008" s="124"/>
      <c r="E1008" s="124"/>
      <c r="F1008" s="41" t="s">
        <v>175</v>
      </c>
      <c r="G1008" s="41"/>
      <c r="H1008" s="66"/>
      <c r="I1008" s="66"/>
      <c r="J1008" s="126"/>
      <c r="K1008" s="204"/>
      <c r="L1008" s="205"/>
      <c r="M1008" s="205"/>
      <c r="N1008" s="205"/>
      <c r="O1008" s="205"/>
      <c r="P1008" s="205"/>
      <c r="Q1008" s="205"/>
      <c r="R1008" s="205"/>
      <c r="S1008" s="205"/>
      <c r="T1008" s="205"/>
      <c r="U1008" s="205"/>
      <c r="V1008" s="205"/>
      <c r="W1008" s="205"/>
      <c r="X1008" s="205"/>
      <c r="Y1008" s="205"/>
      <c r="Z1008" s="205"/>
      <c r="AA1008" s="205"/>
      <c r="AB1008" s="205"/>
      <c r="AC1008" s="205"/>
      <c r="AD1008" s="205"/>
      <c r="AE1008" s="205"/>
      <c r="AF1008" s="205"/>
      <c r="AG1008" s="205"/>
      <c r="AH1008" s="205"/>
      <c r="AI1008" s="205"/>
      <c r="AJ1008" s="747"/>
    </row>
    <row r="1009" spans="1:36" ht="16.5" customHeight="1">
      <c r="A1009" s="40"/>
      <c r="B1009" s="40">
        <v>1</v>
      </c>
      <c r="C1009" s="124"/>
      <c r="D1009" s="124"/>
      <c r="E1009" s="124"/>
      <c r="F1009" s="41"/>
      <c r="G1009" s="41" t="s">
        <v>176</v>
      </c>
      <c r="H1009" s="66"/>
      <c r="I1009" s="66"/>
      <c r="J1009" s="126"/>
      <c r="K1009" s="204"/>
      <c r="L1009" s="205"/>
      <c r="M1009" s="205"/>
      <c r="N1009" s="205"/>
      <c r="O1009" s="205"/>
      <c r="P1009" s="205"/>
      <c r="Q1009" s="205"/>
      <c r="R1009" s="205"/>
      <c r="S1009" s="205"/>
      <c r="T1009" s="205"/>
      <c r="U1009" s="205"/>
      <c r="V1009" s="205"/>
      <c r="W1009" s="205"/>
      <c r="X1009" s="205"/>
      <c r="Y1009" s="205"/>
      <c r="Z1009" s="205"/>
      <c r="AA1009" s="205"/>
      <c r="AB1009" s="205"/>
      <c r="AC1009" s="205"/>
      <c r="AD1009" s="205"/>
      <c r="AE1009" s="205"/>
      <c r="AF1009" s="205"/>
      <c r="AG1009" s="205"/>
      <c r="AH1009" s="205"/>
      <c r="AI1009" s="205"/>
      <c r="AJ1009" s="747"/>
    </row>
    <row r="1010" spans="1:36" ht="16.5" customHeight="1">
      <c r="A1010" s="40"/>
      <c r="B1010" s="40"/>
      <c r="C1010" s="124">
        <v>1</v>
      </c>
      <c r="D1010" s="124"/>
      <c r="E1010" s="124"/>
      <c r="F1010" s="41"/>
      <c r="G1010" s="41"/>
      <c r="H1010" s="66" t="s">
        <v>35</v>
      </c>
      <c r="I1010" s="125"/>
      <c r="J1010" s="128"/>
      <c r="K1010" s="208"/>
      <c r="L1010" s="217"/>
      <c r="M1010" s="217"/>
      <c r="N1010" s="217"/>
      <c r="O1010" s="217"/>
      <c r="P1010" s="217"/>
      <c r="Q1010" s="217"/>
      <c r="R1010" s="217"/>
      <c r="S1010" s="217"/>
      <c r="T1010" s="217"/>
      <c r="U1010" s="217"/>
      <c r="V1010" s="217"/>
      <c r="W1010" s="217"/>
      <c r="X1010" s="217"/>
      <c r="Y1010" s="217"/>
      <c r="Z1010" s="217"/>
      <c r="AA1010" s="217"/>
      <c r="AB1010" s="217"/>
      <c r="AC1010" s="217"/>
      <c r="AD1010" s="217"/>
      <c r="AE1010" s="217"/>
      <c r="AF1010" s="217"/>
      <c r="AG1010" s="217"/>
      <c r="AH1010" s="217"/>
      <c r="AI1010" s="217"/>
      <c r="AJ1010" s="764"/>
    </row>
    <row r="1011" spans="1:36" ht="16.5" customHeight="1">
      <c r="A1011" s="40"/>
      <c r="B1011" s="40"/>
      <c r="C1011" s="124"/>
      <c r="D1011" s="124">
        <v>5</v>
      </c>
      <c r="E1011" s="124" t="s">
        <v>198</v>
      </c>
      <c r="F1011" s="451"/>
      <c r="G1011" s="41"/>
      <c r="H1011" s="66"/>
      <c r="I1011" s="66" t="s">
        <v>185</v>
      </c>
      <c r="J1011" s="452">
        <v>1800000</v>
      </c>
      <c r="K1011" s="453"/>
      <c r="L1011" s="217">
        <f>SUM(J1011:K1011)</f>
        <v>1800000</v>
      </c>
      <c r="M1011" s="217"/>
      <c r="N1011" s="217"/>
      <c r="O1011" s="217"/>
      <c r="P1011" s="217"/>
      <c r="Q1011" s="217"/>
      <c r="R1011" s="217"/>
      <c r="S1011" s="217">
        <f t="shared" ref="S1011" si="1123">SUM(M1011:R1011)</f>
        <v>0</v>
      </c>
      <c r="T1011" s="217">
        <f t="shared" ref="T1011" si="1124">S1011+L1011</f>
        <v>1800000</v>
      </c>
      <c r="U1011" s="217"/>
      <c r="V1011" s="217"/>
      <c r="W1011" s="217"/>
      <c r="X1011" s="217"/>
      <c r="Y1011" s="217"/>
      <c r="Z1011" s="217">
        <f>SUM(U1011:Y1011)</f>
        <v>0</v>
      </c>
      <c r="AA1011" s="217">
        <f>Z1011+T1011</f>
        <v>1800000</v>
      </c>
      <c r="AB1011" s="217"/>
      <c r="AC1011" s="217"/>
      <c r="AD1011" s="217"/>
      <c r="AE1011" s="217"/>
      <c r="AF1011" s="217"/>
      <c r="AG1011" s="217">
        <f t="shared" ref="AG1011" si="1125">SUM(AB1011:AF1011)</f>
        <v>0</v>
      </c>
      <c r="AH1011" s="217">
        <f t="shared" ref="AH1011" si="1126">AG1011+AA1011</f>
        <v>1800000</v>
      </c>
      <c r="AI1011" s="217">
        <v>1800000</v>
      </c>
      <c r="AJ1011" s="764">
        <f>AI1011/AH1011*100</f>
        <v>100</v>
      </c>
    </row>
    <row r="1012" spans="1:36" ht="14">
      <c r="A1012" s="40"/>
      <c r="B1012" s="40"/>
      <c r="C1012" s="124"/>
      <c r="D1012" s="124"/>
      <c r="E1012" s="124"/>
      <c r="F1012" s="41"/>
      <c r="G1012" s="41"/>
      <c r="H1012" s="66"/>
      <c r="I1012" s="66"/>
      <c r="J1012" s="126"/>
      <c r="K1012" s="204"/>
      <c r="L1012" s="205"/>
      <c r="M1012" s="205"/>
      <c r="N1012" s="205"/>
      <c r="O1012" s="205"/>
      <c r="P1012" s="205"/>
      <c r="Q1012" s="205"/>
      <c r="R1012" s="205"/>
      <c r="S1012" s="205"/>
      <c r="T1012" s="205"/>
      <c r="U1012" s="205"/>
      <c r="V1012" s="205"/>
      <c r="W1012" s="205"/>
      <c r="X1012" s="205"/>
      <c r="Y1012" s="205"/>
      <c r="Z1012" s="205"/>
      <c r="AA1012" s="205"/>
      <c r="AB1012" s="205"/>
      <c r="AC1012" s="205"/>
      <c r="AD1012" s="205"/>
      <c r="AE1012" s="205"/>
      <c r="AF1012" s="205"/>
      <c r="AG1012" s="205"/>
      <c r="AH1012" s="205"/>
      <c r="AI1012" s="205"/>
      <c r="AJ1012" s="747"/>
    </row>
    <row r="1013" spans="1:36" ht="16.5" customHeight="1">
      <c r="A1013" s="40"/>
      <c r="B1013" s="40"/>
      <c r="C1013" s="124"/>
      <c r="D1013" s="124"/>
      <c r="E1013" s="124"/>
      <c r="F1013" s="173"/>
      <c r="G1013" s="64"/>
      <c r="H1013" s="65"/>
      <c r="I1013" s="64" t="s">
        <v>38</v>
      </c>
      <c r="J1013" s="333">
        <f>SUM(J1008:J1012)</f>
        <v>1800000</v>
      </c>
      <c r="K1013" s="457"/>
      <c r="L1013" s="458">
        <f>SUM(L1008:L1012)</f>
        <v>1800000</v>
      </c>
      <c r="M1013" s="458">
        <f t="shared" ref="M1013:T1013" si="1127">SUM(M1008:M1012)</f>
        <v>0</v>
      </c>
      <c r="N1013" s="458">
        <f t="shared" si="1127"/>
        <v>0</v>
      </c>
      <c r="O1013" s="458">
        <f t="shared" si="1127"/>
        <v>0</v>
      </c>
      <c r="P1013" s="458">
        <f t="shared" si="1127"/>
        <v>0</v>
      </c>
      <c r="Q1013" s="458">
        <f t="shared" si="1127"/>
        <v>0</v>
      </c>
      <c r="R1013" s="458">
        <f t="shared" si="1127"/>
        <v>0</v>
      </c>
      <c r="S1013" s="458">
        <f t="shared" si="1127"/>
        <v>0</v>
      </c>
      <c r="T1013" s="458">
        <f t="shared" si="1127"/>
        <v>1800000</v>
      </c>
      <c r="U1013" s="458"/>
      <c r="V1013" s="458"/>
      <c r="W1013" s="458"/>
      <c r="X1013" s="458"/>
      <c r="Y1013" s="458"/>
      <c r="Z1013" s="458">
        <f t="shared" ref="Z1013:AA1013" si="1128">SUM(Z1008:Z1012)</f>
        <v>0</v>
      </c>
      <c r="AA1013" s="458">
        <f t="shared" si="1128"/>
        <v>1800000</v>
      </c>
      <c r="AB1013" s="458"/>
      <c r="AC1013" s="458"/>
      <c r="AD1013" s="458"/>
      <c r="AE1013" s="458"/>
      <c r="AF1013" s="458"/>
      <c r="AG1013" s="458">
        <f t="shared" ref="AG1013:AI1013" si="1129">SUM(AG1008:AG1012)</f>
        <v>0</v>
      </c>
      <c r="AH1013" s="458">
        <f t="shared" si="1129"/>
        <v>1800000</v>
      </c>
      <c r="AI1013" s="458">
        <f t="shared" si="1129"/>
        <v>1800000</v>
      </c>
      <c r="AJ1013" s="770">
        <f>AI1013/AH1013*100</f>
        <v>100</v>
      </c>
    </row>
    <row r="1014" spans="1:36" ht="14">
      <c r="A1014" s="40"/>
      <c r="B1014" s="40"/>
      <c r="C1014" s="124"/>
      <c r="D1014" s="124"/>
      <c r="E1014" s="124"/>
      <c r="F1014" s="41"/>
      <c r="G1014" s="41"/>
      <c r="H1014" s="66"/>
      <c r="I1014" s="41"/>
      <c r="J1014" s="126"/>
      <c r="K1014" s="204"/>
      <c r="L1014" s="205"/>
      <c r="M1014" s="205"/>
      <c r="N1014" s="205"/>
      <c r="O1014" s="205"/>
      <c r="P1014" s="205"/>
      <c r="Q1014" s="205"/>
      <c r="R1014" s="205"/>
      <c r="S1014" s="205"/>
      <c r="T1014" s="205"/>
      <c r="U1014" s="205"/>
      <c r="V1014" s="205"/>
      <c r="W1014" s="205"/>
      <c r="X1014" s="205"/>
      <c r="Y1014" s="205"/>
      <c r="Z1014" s="205"/>
      <c r="AA1014" s="205"/>
      <c r="AB1014" s="205"/>
      <c r="AC1014" s="205"/>
      <c r="AD1014" s="205"/>
      <c r="AE1014" s="205"/>
      <c r="AF1014" s="205"/>
      <c r="AG1014" s="205"/>
      <c r="AH1014" s="205"/>
      <c r="AI1014" s="205"/>
      <c r="AJ1014" s="747"/>
    </row>
    <row r="1015" spans="1:36" ht="16" customHeight="1">
      <c r="A1015" s="40"/>
      <c r="B1015" s="40">
        <v>2</v>
      </c>
      <c r="C1015" s="124"/>
      <c r="D1015" s="124"/>
      <c r="E1015" s="124"/>
      <c r="F1015" s="41"/>
      <c r="G1015" s="41" t="s">
        <v>177</v>
      </c>
      <c r="H1015" s="66"/>
      <c r="I1015" s="66"/>
      <c r="J1015" s="126"/>
      <c r="K1015" s="204"/>
      <c r="L1015" s="205"/>
      <c r="M1015" s="205"/>
      <c r="N1015" s="205"/>
      <c r="O1015" s="205"/>
      <c r="P1015" s="205"/>
      <c r="Q1015" s="205"/>
      <c r="R1015" s="205"/>
      <c r="S1015" s="205"/>
      <c r="T1015" s="205"/>
      <c r="U1015" s="205"/>
      <c r="V1015" s="205"/>
      <c r="W1015" s="205"/>
      <c r="X1015" s="205"/>
      <c r="Y1015" s="205"/>
      <c r="Z1015" s="205"/>
      <c r="AA1015" s="205"/>
      <c r="AB1015" s="205"/>
      <c r="AC1015" s="205"/>
      <c r="AD1015" s="205"/>
      <c r="AE1015" s="205"/>
      <c r="AF1015" s="205"/>
      <c r="AG1015" s="205"/>
      <c r="AH1015" s="205"/>
      <c r="AI1015" s="205"/>
      <c r="AJ1015" s="747"/>
    </row>
    <row r="1016" spans="1:36" ht="16" customHeight="1">
      <c r="A1016" s="40"/>
      <c r="B1016" s="40"/>
      <c r="C1016" s="124">
        <v>1</v>
      </c>
      <c r="D1016" s="124"/>
      <c r="E1016" s="124"/>
      <c r="F1016" s="41"/>
      <c r="G1016" s="41"/>
      <c r="H1016" s="66" t="s">
        <v>35</v>
      </c>
      <c r="I1016" s="125"/>
      <c r="J1016" s="128"/>
      <c r="K1016" s="208"/>
      <c r="L1016" s="217"/>
      <c r="M1016" s="217"/>
      <c r="N1016" s="217"/>
      <c r="O1016" s="217"/>
      <c r="P1016" s="217"/>
      <c r="Q1016" s="217"/>
      <c r="R1016" s="217"/>
      <c r="S1016" s="217"/>
      <c r="T1016" s="217"/>
      <c r="U1016" s="217"/>
      <c r="V1016" s="217"/>
      <c r="W1016" s="217"/>
      <c r="X1016" s="217"/>
      <c r="Y1016" s="217"/>
      <c r="Z1016" s="217"/>
      <c r="AA1016" s="217"/>
      <c r="AB1016" s="217"/>
      <c r="AC1016" s="217"/>
      <c r="AD1016" s="217"/>
      <c r="AE1016" s="217"/>
      <c r="AF1016" s="217"/>
      <c r="AG1016" s="217"/>
      <c r="AH1016" s="217"/>
      <c r="AI1016" s="217"/>
      <c r="AJ1016" s="764"/>
    </row>
    <row r="1017" spans="1:36" ht="16" customHeight="1">
      <c r="A1017" s="40"/>
      <c r="B1017" s="40"/>
      <c r="C1017" s="124"/>
      <c r="D1017" s="124">
        <v>5</v>
      </c>
      <c r="E1017" s="124" t="s">
        <v>198</v>
      </c>
      <c r="F1017" s="451"/>
      <c r="G1017" s="41"/>
      <c r="H1017" s="66"/>
      <c r="I1017" s="66" t="s">
        <v>185</v>
      </c>
      <c r="J1017" s="452">
        <v>1300000</v>
      </c>
      <c r="K1017" s="453"/>
      <c r="L1017" s="217">
        <f>SUM(J1017:K1017)</f>
        <v>1300000</v>
      </c>
      <c r="M1017" s="217"/>
      <c r="N1017" s="217"/>
      <c r="O1017" s="217"/>
      <c r="P1017" s="217"/>
      <c r="Q1017" s="217"/>
      <c r="R1017" s="217"/>
      <c r="S1017" s="217">
        <f t="shared" ref="S1017" si="1130">SUM(M1017:R1017)</f>
        <v>0</v>
      </c>
      <c r="T1017" s="217">
        <f t="shared" ref="T1017" si="1131">S1017+L1017</f>
        <v>1300000</v>
      </c>
      <c r="U1017" s="217"/>
      <c r="V1017" s="217"/>
      <c r="W1017" s="217"/>
      <c r="X1017" s="217"/>
      <c r="Y1017" s="217"/>
      <c r="Z1017" s="217">
        <f>SUM(U1017:Y1017)</f>
        <v>0</v>
      </c>
      <c r="AA1017" s="217">
        <f>Z1017+T1017</f>
        <v>1300000</v>
      </c>
      <c r="AB1017" s="217"/>
      <c r="AC1017" s="217"/>
      <c r="AD1017" s="217"/>
      <c r="AE1017" s="217"/>
      <c r="AF1017" s="217"/>
      <c r="AG1017" s="217">
        <f t="shared" ref="AG1017" si="1132">SUM(AB1017:AF1017)</f>
        <v>0</v>
      </c>
      <c r="AH1017" s="217">
        <f t="shared" ref="AH1017" si="1133">AG1017+AA1017</f>
        <v>1300000</v>
      </c>
      <c r="AI1017" s="217">
        <v>1300000</v>
      </c>
      <c r="AJ1017" s="764">
        <f>AI1017/AH1017*100</f>
        <v>100</v>
      </c>
    </row>
    <row r="1018" spans="1:36" ht="16" customHeight="1">
      <c r="A1018" s="40"/>
      <c r="B1018" s="40"/>
      <c r="C1018" s="124"/>
      <c r="D1018" s="124"/>
      <c r="E1018" s="124"/>
      <c r="F1018" s="41"/>
      <c r="G1018" s="41"/>
      <c r="H1018" s="66"/>
      <c r="I1018" s="66"/>
      <c r="J1018" s="126"/>
      <c r="K1018" s="204"/>
      <c r="L1018" s="205"/>
      <c r="M1018" s="205"/>
      <c r="N1018" s="205"/>
      <c r="O1018" s="205"/>
      <c r="P1018" s="205"/>
      <c r="Q1018" s="205"/>
      <c r="R1018" s="205"/>
      <c r="S1018" s="205"/>
      <c r="T1018" s="205"/>
      <c r="U1018" s="205"/>
      <c r="V1018" s="205"/>
      <c r="W1018" s="205"/>
      <c r="X1018" s="205"/>
      <c r="Y1018" s="205"/>
      <c r="Z1018" s="205"/>
      <c r="AA1018" s="205"/>
      <c r="AB1018" s="205"/>
      <c r="AC1018" s="205"/>
      <c r="AD1018" s="205"/>
      <c r="AE1018" s="205"/>
      <c r="AF1018" s="205"/>
      <c r="AG1018" s="205"/>
      <c r="AH1018" s="205"/>
      <c r="AI1018" s="205"/>
      <c r="AJ1018" s="747"/>
    </row>
    <row r="1019" spans="1:36" ht="16" customHeight="1">
      <c r="A1019" s="40"/>
      <c r="B1019" s="40"/>
      <c r="C1019" s="124"/>
      <c r="D1019" s="124"/>
      <c r="E1019" s="124"/>
      <c r="F1019" s="173"/>
      <c r="G1019" s="64"/>
      <c r="H1019" s="65"/>
      <c r="I1019" s="64" t="s">
        <v>38</v>
      </c>
      <c r="J1019" s="333">
        <f>SUM(J1014:J1018)</f>
        <v>1300000</v>
      </c>
      <c r="K1019" s="457"/>
      <c r="L1019" s="458">
        <f>SUM(L1014:L1018)</f>
        <v>1300000</v>
      </c>
      <c r="M1019" s="458">
        <f t="shared" ref="M1019:T1019" si="1134">SUM(M1014:M1018)</f>
        <v>0</v>
      </c>
      <c r="N1019" s="458">
        <f t="shared" si="1134"/>
        <v>0</v>
      </c>
      <c r="O1019" s="458">
        <f t="shared" si="1134"/>
        <v>0</v>
      </c>
      <c r="P1019" s="458">
        <f t="shared" si="1134"/>
        <v>0</v>
      </c>
      <c r="Q1019" s="458">
        <f t="shared" si="1134"/>
        <v>0</v>
      </c>
      <c r="R1019" s="458">
        <f t="shared" si="1134"/>
        <v>0</v>
      </c>
      <c r="S1019" s="458">
        <f t="shared" si="1134"/>
        <v>0</v>
      </c>
      <c r="T1019" s="458">
        <f t="shared" si="1134"/>
        <v>1300000</v>
      </c>
      <c r="U1019" s="458"/>
      <c r="V1019" s="458"/>
      <c r="W1019" s="458"/>
      <c r="X1019" s="458"/>
      <c r="Y1019" s="458"/>
      <c r="Z1019" s="458">
        <f t="shared" ref="Z1019:AA1019" si="1135">SUM(Z1014:Z1018)</f>
        <v>0</v>
      </c>
      <c r="AA1019" s="458">
        <f t="shared" si="1135"/>
        <v>1300000</v>
      </c>
      <c r="AB1019" s="458"/>
      <c r="AC1019" s="458"/>
      <c r="AD1019" s="458"/>
      <c r="AE1019" s="458"/>
      <c r="AF1019" s="458"/>
      <c r="AG1019" s="458">
        <f t="shared" ref="AG1019:AI1019" si="1136">SUM(AG1014:AG1018)</f>
        <v>0</v>
      </c>
      <c r="AH1019" s="458">
        <f t="shared" si="1136"/>
        <v>1300000</v>
      </c>
      <c r="AI1019" s="458">
        <f t="shared" si="1136"/>
        <v>1300000</v>
      </c>
      <c r="AJ1019" s="770">
        <f>AI1019/AH1019*100</f>
        <v>100</v>
      </c>
    </row>
    <row r="1020" spans="1:36" ht="14">
      <c r="A1020" s="40"/>
      <c r="B1020" s="40"/>
      <c r="C1020" s="124"/>
      <c r="D1020" s="124"/>
      <c r="E1020" s="124"/>
      <c r="F1020" s="41"/>
      <c r="G1020" s="41"/>
      <c r="H1020" s="66"/>
      <c r="I1020" s="41"/>
      <c r="J1020" s="126"/>
      <c r="K1020" s="204"/>
      <c r="L1020" s="205"/>
      <c r="M1020" s="205"/>
      <c r="N1020" s="205"/>
      <c r="O1020" s="205"/>
      <c r="P1020" s="205"/>
      <c r="Q1020" s="205"/>
      <c r="R1020" s="205"/>
      <c r="S1020" s="205"/>
      <c r="T1020" s="205"/>
      <c r="U1020" s="205"/>
      <c r="V1020" s="205"/>
      <c r="W1020" s="205"/>
      <c r="X1020" s="205"/>
      <c r="Y1020" s="205"/>
      <c r="Z1020" s="205"/>
      <c r="AA1020" s="205"/>
      <c r="AB1020" s="205"/>
      <c r="AC1020" s="205"/>
      <c r="AD1020" s="205"/>
      <c r="AE1020" s="205"/>
      <c r="AF1020" s="205"/>
      <c r="AG1020" s="205"/>
      <c r="AH1020" s="205"/>
      <c r="AI1020" s="205"/>
      <c r="AJ1020" s="747"/>
    </row>
    <row r="1021" spans="1:36" ht="14">
      <c r="A1021" s="40"/>
      <c r="B1021" s="40">
        <v>3</v>
      </c>
      <c r="C1021" s="124"/>
      <c r="D1021" s="124"/>
      <c r="E1021" s="124"/>
      <c r="F1021" s="41"/>
      <c r="G1021" s="41" t="s">
        <v>178</v>
      </c>
      <c r="H1021" s="66"/>
      <c r="I1021" s="66"/>
      <c r="J1021" s="126"/>
      <c r="K1021" s="204"/>
      <c r="L1021" s="205"/>
      <c r="M1021" s="205"/>
      <c r="N1021" s="205"/>
      <c r="O1021" s="205"/>
      <c r="P1021" s="205"/>
      <c r="Q1021" s="205"/>
      <c r="R1021" s="205"/>
      <c r="S1021" s="205"/>
      <c r="T1021" s="205"/>
      <c r="U1021" s="205"/>
      <c r="V1021" s="205"/>
      <c r="W1021" s="205"/>
      <c r="X1021" s="205"/>
      <c r="Y1021" s="205"/>
      <c r="Z1021" s="205"/>
      <c r="AA1021" s="205"/>
      <c r="AB1021" s="205"/>
      <c r="AC1021" s="205"/>
      <c r="AD1021" s="205"/>
      <c r="AE1021" s="205"/>
      <c r="AF1021" s="205"/>
      <c r="AG1021" s="205"/>
      <c r="AH1021" s="205"/>
      <c r="AI1021" s="205"/>
      <c r="AJ1021" s="747"/>
    </row>
    <row r="1022" spans="1:36" ht="14">
      <c r="A1022" s="40"/>
      <c r="B1022" s="40"/>
      <c r="C1022" s="124">
        <v>1</v>
      </c>
      <c r="D1022" s="124"/>
      <c r="E1022" s="124"/>
      <c r="F1022" s="41"/>
      <c r="G1022" s="41"/>
      <c r="H1022" s="66" t="s">
        <v>35</v>
      </c>
      <c r="I1022" s="125"/>
      <c r="J1022" s="128"/>
      <c r="K1022" s="208"/>
      <c r="L1022" s="217"/>
      <c r="M1022" s="217"/>
      <c r="N1022" s="217"/>
      <c r="O1022" s="217"/>
      <c r="P1022" s="217"/>
      <c r="Q1022" s="217"/>
      <c r="R1022" s="217"/>
      <c r="S1022" s="217"/>
      <c r="T1022" s="217"/>
      <c r="U1022" s="217"/>
      <c r="V1022" s="217"/>
      <c r="W1022" s="217"/>
      <c r="X1022" s="217"/>
      <c r="Y1022" s="217"/>
      <c r="Z1022" s="217"/>
      <c r="AA1022" s="217"/>
      <c r="AB1022" s="217"/>
      <c r="AC1022" s="217"/>
      <c r="AD1022" s="217"/>
      <c r="AE1022" s="217"/>
      <c r="AF1022" s="217"/>
      <c r="AG1022" s="217"/>
      <c r="AH1022" s="217"/>
      <c r="AI1022" s="217"/>
      <c r="AJ1022" s="764"/>
    </row>
    <row r="1023" spans="1:36" ht="14">
      <c r="A1023" s="40"/>
      <c r="B1023" s="40"/>
      <c r="C1023" s="124"/>
      <c r="D1023" s="124">
        <v>5</v>
      </c>
      <c r="E1023" s="124" t="s">
        <v>198</v>
      </c>
      <c r="F1023" s="451"/>
      <c r="G1023" s="41"/>
      <c r="H1023" s="66"/>
      <c r="I1023" s="66" t="s">
        <v>185</v>
      </c>
      <c r="J1023" s="452">
        <v>1300000</v>
      </c>
      <c r="K1023" s="453"/>
      <c r="L1023" s="217">
        <f>SUM(J1023:K1023)</f>
        <v>1300000</v>
      </c>
      <c r="M1023" s="217"/>
      <c r="N1023" s="217"/>
      <c r="O1023" s="217"/>
      <c r="P1023" s="217"/>
      <c r="Q1023" s="217"/>
      <c r="R1023" s="217"/>
      <c r="S1023" s="217">
        <f t="shared" ref="S1023" si="1137">SUM(M1023:R1023)</f>
        <v>0</v>
      </c>
      <c r="T1023" s="217">
        <f t="shared" ref="T1023" si="1138">S1023+L1023</f>
        <v>1300000</v>
      </c>
      <c r="U1023" s="217"/>
      <c r="V1023" s="217"/>
      <c r="W1023" s="217"/>
      <c r="X1023" s="217"/>
      <c r="Y1023" s="217"/>
      <c r="Z1023" s="217">
        <f>SUM(U1023:Y1023)</f>
        <v>0</v>
      </c>
      <c r="AA1023" s="217">
        <f>Z1023+T1023</f>
        <v>1300000</v>
      </c>
      <c r="AB1023" s="217"/>
      <c r="AC1023" s="217"/>
      <c r="AD1023" s="217"/>
      <c r="AE1023" s="217"/>
      <c r="AF1023" s="217"/>
      <c r="AG1023" s="217">
        <f t="shared" ref="AG1023" si="1139">SUM(AB1023:AF1023)</f>
        <v>0</v>
      </c>
      <c r="AH1023" s="217">
        <f t="shared" ref="AH1023" si="1140">AG1023+AA1023</f>
        <v>1300000</v>
      </c>
      <c r="AI1023" s="217">
        <v>1300000</v>
      </c>
      <c r="AJ1023" s="764">
        <f>AI1023/AH1023*100</f>
        <v>100</v>
      </c>
    </row>
    <row r="1024" spans="1:36" ht="14">
      <c r="A1024" s="40"/>
      <c r="B1024" s="40"/>
      <c r="C1024" s="124"/>
      <c r="D1024" s="124"/>
      <c r="E1024" s="124"/>
      <c r="F1024" s="41"/>
      <c r="G1024" s="41"/>
      <c r="H1024" s="66"/>
      <c r="I1024" s="66"/>
      <c r="J1024" s="126"/>
      <c r="K1024" s="204"/>
      <c r="L1024" s="205"/>
      <c r="M1024" s="205"/>
      <c r="N1024" s="205"/>
      <c r="O1024" s="205"/>
      <c r="P1024" s="205"/>
      <c r="Q1024" s="205"/>
      <c r="R1024" s="205"/>
      <c r="S1024" s="205"/>
      <c r="T1024" s="205"/>
      <c r="U1024" s="205"/>
      <c r="V1024" s="205"/>
      <c r="W1024" s="205"/>
      <c r="X1024" s="205"/>
      <c r="Y1024" s="205"/>
      <c r="Z1024" s="205"/>
      <c r="AA1024" s="205"/>
      <c r="AB1024" s="205"/>
      <c r="AC1024" s="205"/>
      <c r="AD1024" s="205"/>
      <c r="AE1024" s="205"/>
      <c r="AF1024" s="205"/>
      <c r="AG1024" s="205"/>
      <c r="AH1024" s="205"/>
      <c r="AI1024" s="205"/>
      <c r="AJ1024" s="747"/>
    </row>
    <row r="1025" spans="1:36" ht="14">
      <c r="A1025" s="40"/>
      <c r="B1025" s="40"/>
      <c r="C1025" s="124"/>
      <c r="D1025" s="124"/>
      <c r="E1025" s="124"/>
      <c r="F1025" s="173"/>
      <c r="G1025" s="64"/>
      <c r="H1025" s="65"/>
      <c r="I1025" s="64" t="s">
        <v>38</v>
      </c>
      <c r="J1025" s="333">
        <f>SUM(J1020:J1024)</f>
        <v>1300000</v>
      </c>
      <c r="K1025" s="457"/>
      <c r="L1025" s="458">
        <f>SUM(L1020:L1024)</f>
        <v>1300000</v>
      </c>
      <c r="M1025" s="458">
        <f t="shared" ref="M1025:T1025" si="1141">SUM(M1020:M1024)</f>
        <v>0</v>
      </c>
      <c r="N1025" s="458">
        <f t="shared" si="1141"/>
        <v>0</v>
      </c>
      <c r="O1025" s="458">
        <f t="shared" si="1141"/>
        <v>0</v>
      </c>
      <c r="P1025" s="458">
        <f t="shared" si="1141"/>
        <v>0</v>
      </c>
      <c r="Q1025" s="458">
        <f t="shared" si="1141"/>
        <v>0</v>
      </c>
      <c r="R1025" s="458">
        <f t="shared" si="1141"/>
        <v>0</v>
      </c>
      <c r="S1025" s="458">
        <f t="shared" si="1141"/>
        <v>0</v>
      </c>
      <c r="T1025" s="458">
        <f t="shared" si="1141"/>
        <v>1300000</v>
      </c>
      <c r="U1025" s="458"/>
      <c r="V1025" s="458"/>
      <c r="W1025" s="458"/>
      <c r="X1025" s="458"/>
      <c r="Y1025" s="458"/>
      <c r="Z1025" s="458">
        <f t="shared" ref="Z1025:AA1025" si="1142">SUM(Z1020:Z1024)</f>
        <v>0</v>
      </c>
      <c r="AA1025" s="458">
        <f t="shared" si="1142"/>
        <v>1300000</v>
      </c>
      <c r="AB1025" s="458"/>
      <c r="AC1025" s="458"/>
      <c r="AD1025" s="458"/>
      <c r="AE1025" s="458">
        <f t="shared" ref="AE1025:AI1025" si="1143">SUM(AE1020:AE1024)</f>
        <v>0</v>
      </c>
      <c r="AF1025" s="458"/>
      <c r="AG1025" s="458">
        <f t="shared" si="1143"/>
        <v>0</v>
      </c>
      <c r="AH1025" s="458">
        <f t="shared" si="1143"/>
        <v>1300000</v>
      </c>
      <c r="AI1025" s="458">
        <f t="shared" si="1143"/>
        <v>1300000</v>
      </c>
      <c r="AJ1025" s="770">
        <f>AI1025/AH1025*100</f>
        <v>100</v>
      </c>
    </row>
    <row r="1026" spans="1:36" ht="14">
      <c r="A1026" s="40"/>
      <c r="B1026" s="40"/>
      <c r="C1026" s="124"/>
      <c r="D1026" s="124"/>
      <c r="E1026" s="124"/>
      <c r="F1026" s="41"/>
      <c r="G1026" s="41"/>
      <c r="H1026" s="66"/>
      <c r="I1026" s="41"/>
      <c r="J1026" s="126"/>
      <c r="K1026" s="204"/>
      <c r="L1026" s="205"/>
      <c r="M1026" s="205"/>
      <c r="N1026" s="205"/>
      <c r="O1026" s="205"/>
      <c r="P1026" s="205"/>
      <c r="Q1026" s="205"/>
      <c r="R1026" s="205"/>
      <c r="S1026" s="205"/>
      <c r="T1026" s="205"/>
      <c r="U1026" s="205"/>
      <c r="V1026" s="205"/>
      <c r="W1026" s="205"/>
      <c r="X1026" s="205"/>
      <c r="Y1026" s="205"/>
      <c r="Z1026" s="205"/>
      <c r="AA1026" s="205"/>
      <c r="AB1026" s="205"/>
      <c r="AC1026" s="205"/>
      <c r="AD1026" s="205"/>
      <c r="AE1026" s="205"/>
      <c r="AF1026" s="205"/>
      <c r="AG1026" s="205"/>
      <c r="AH1026" s="205"/>
      <c r="AI1026" s="205"/>
      <c r="AJ1026" s="747"/>
    </row>
    <row r="1027" spans="1:36" ht="14">
      <c r="A1027" s="40"/>
      <c r="B1027" s="40">
        <v>4</v>
      </c>
      <c r="C1027" s="124"/>
      <c r="D1027" s="124"/>
      <c r="E1027" s="124"/>
      <c r="F1027" s="41"/>
      <c r="G1027" s="41" t="s">
        <v>179</v>
      </c>
      <c r="H1027" s="66"/>
      <c r="I1027" s="66"/>
      <c r="J1027" s="126"/>
      <c r="K1027" s="204"/>
      <c r="L1027" s="205"/>
      <c r="M1027" s="205"/>
      <c r="N1027" s="205"/>
      <c r="O1027" s="205"/>
      <c r="P1027" s="205"/>
      <c r="Q1027" s="205"/>
      <c r="R1027" s="205"/>
      <c r="S1027" s="205"/>
      <c r="T1027" s="205"/>
      <c r="U1027" s="205"/>
      <c r="V1027" s="205"/>
      <c r="W1027" s="205"/>
      <c r="X1027" s="205"/>
      <c r="Y1027" s="205"/>
      <c r="Z1027" s="205"/>
      <c r="AA1027" s="205"/>
      <c r="AB1027" s="205"/>
      <c r="AC1027" s="205"/>
      <c r="AD1027" s="205"/>
      <c r="AE1027" s="205"/>
      <c r="AF1027" s="205"/>
      <c r="AG1027" s="205"/>
      <c r="AH1027" s="205"/>
      <c r="AI1027" s="205"/>
      <c r="AJ1027" s="747"/>
    </row>
    <row r="1028" spans="1:36" ht="14">
      <c r="A1028" s="40"/>
      <c r="B1028" s="40"/>
      <c r="C1028" s="124">
        <v>1</v>
      </c>
      <c r="D1028" s="124"/>
      <c r="E1028" s="124"/>
      <c r="F1028" s="41"/>
      <c r="G1028" s="41"/>
      <c r="H1028" s="66" t="s">
        <v>35</v>
      </c>
      <c r="I1028" s="125"/>
      <c r="J1028" s="128"/>
      <c r="K1028" s="208"/>
      <c r="L1028" s="217"/>
      <c r="M1028" s="217"/>
      <c r="N1028" s="217"/>
      <c r="O1028" s="217"/>
      <c r="P1028" s="217"/>
      <c r="Q1028" s="217"/>
      <c r="R1028" s="217"/>
      <c r="S1028" s="217"/>
      <c r="T1028" s="217"/>
      <c r="U1028" s="217"/>
      <c r="V1028" s="217"/>
      <c r="W1028" s="217"/>
      <c r="X1028" s="217"/>
      <c r="Y1028" s="217"/>
      <c r="Z1028" s="217"/>
      <c r="AA1028" s="217"/>
      <c r="AB1028" s="217"/>
      <c r="AC1028" s="217"/>
      <c r="AD1028" s="217"/>
      <c r="AE1028" s="217"/>
      <c r="AF1028" s="217"/>
      <c r="AG1028" s="217"/>
      <c r="AH1028" s="217"/>
      <c r="AI1028" s="217"/>
      <c r="AJ1028" s="764"/>
    </row>
    <row r="1029" spans="1:36" ht="14">
      <c r="A1029" s="40"/>
      <c r="B1029" s="40"/>
      <c r="C1029" s="124"/>
      <c r="D1029" s="124">
        <v>5</v>
      </c>
      <c r="E1029" s="124" t="s">
        <v>198</v>
      </c>
      <c r="F1029" s="451"/>
      <c r="G1029" s="41"/>
      <c r="H1029" s="66"/>
      <c r="I1029" s="66" t="s">
        <v>185</v>
      </c>
      <c r="J1029" s="452">
        <v>700000</v>
      </c>
      <c r="K1029" s="453"/>
      <c r="L1029" s="217">
        <f>SUM(J1029:K1029)</f>
        <v>700000</v>
      </c>
      <c r="M1029" s="217"/>
      <c r="N1029" s="217"/>
      <c r="O1029" s="217"/>
      <c r="P1029" s="217"/>
      <c r="Q1029" s="217"/>
      <c r="R1029" s="217"/>
      <c r="S1029" s="217">
        <f t="shared" ref="S1029" si="1144">SUM(M1029:R1029)</f>
        <v>0</v>
      </c>
      <c r="T1029" s="217">
        <f t="shared" ref="T1029" si="1145">S1029+L1029</f>
        <v>700000</v>
      </c>
      <c r="U1029" s="217"/>
      <c r="V1029" s="217"/>
      <c r="W1029" s="217"/>
      <c r="X1029" s="217"/>
      <c r="Y1029" s="217"/>
      <c r="Z1029" s="217">
        <f>SUM(U1029:Y1029)</f>
        <v>0</v>
      </c>
      <c r="AA1029" s="217">
        <f>Z1029+T1029</f>
        <v>700000</v>
      </c>
      <c r="AB1029" s="217"/>
      <c r="AC1029" s="217"/>
      <c r="AD1029" s="217"/>
      <c r="AE1029" s="217">
        <v>-112000</v>
      </c>
      <c r="AF1029" s="217"/>
      <c r="AG1029" s="217">
        <f t="shared" ref="AG1029" si="1146">SUM(AB1029:AF1029)</f>
        <v>-112000</v>
      </c>
      <c r="AH1029" s="217">
        <f t="shared" ref="AH1029" si="1147">AG1029+AA1029</f>
        <v>588000</v>
      </c>
      <c r="AI1029" s="217">
        <v>588000</v>
      </c>
      <c r="AJ1029" s="764">
        <f>AI1029/AH1029*100</f>
        <v>100</v>
      </c>
    </row>
    <row r="1030" spans="1:36" ht="14">
      <c r="A1030" s="40"/>
      <c r="B1030" s="40"/>
      <c r="C1030" s="124"/>
      <c r="D1030" s="124"/>
      <c r="E1030" s="124"/>
      <c r="F1030" s="41"/>
      <c r="G1030" s="41"/>
      <c r="H1030" s="66"/>
      <c r="I1030" s="66"/>
      <c r="J1030" s="126"/>
      <c r="K1030" s="204"/>
      <c r="L1030" s="205"/>
      <c r="M1030" s="205"/>
      <c r="N1030" s="205"/>
      <c r="O1030" s="205"/>
      <c r="P1030" s="205"/>
      <c r="Q1030" s="205"/>
      <c r="R1030" s="205"/>
      <c r="S1030" s="205"/>
      <c r="T1030" s="205"/>
      <c r="U1030" s="205"/>
      <c r="V1030" s="205"/>
      <c r="W1030" s="205"/>
      <c r="X1030" s="205"/>
      <c r="Y1030" s="205"/>
      <c r="Z1030" s="205"/>
      <c r="AA1030" s="205"/>
      <c r="AB1030" s="205"/>
      <c r="AC1030" s="205"/>
      <c r="AD1030" s="205"/>
      <c r="AE1030" s="205"/>
      <c r="AF1030" s="205"/>
      <c r="AG1030" s="205"/>
      <c r="AH1030" s="205"/>
      <c r="AI1030" s="205"/>
      <c r="AJ1030" s="747"/>
    </row>
    <row r="1031" spans="1:36" ht="14">
      <c r="A1031" s="40"/>
      <c r="B1031" s="40"/>
      <c r="C1031" s="124"/>
      <c r="D1031" s="124"/>
      <c r="E1031" s="124"/>
      <c r="F1031" s="173"/>
      <c r="G1031" s="64"/>
      <c r="H1031" s="65"/>
      <c r="I1031" s="64" t="s">
        <v>38</v>
      </c>
      <c r="J1031" s="333">
        <f>SUM(J1026:J1030)</f>
        <v>700000</v>
      </c>
      <c r="K1031" s="457"/>
      <c r="L1031" s="458">
        <f>SUM(L1026:L1030)</f>
        <v>700000</v>
      </c>
      <c r="M1031" s="458">
        <f t="shared" ref="M1031:T1031" si="1148">SUM(M1026:M1030)</f>
        <v>0</v>
      </c>
      <c r="N1031" s="458">
        <f t="shared" si="1148"/>
        <v>0</v>
      </c>
      <c r="O1031" s="458">
        <f t="shared" si="1148"/>
        <v>0</v>
      </c>
      <c r="P1031" s="458">
        <f t="shared" si="1148"/>
        <v>0</v>
      </c>
      <c r="Q1031" s="458">
        <f t="shared" si="1148"/>
        <v>0</v>
      </c>
      <c r="R1031" s="458">
        <f t="shared" si="1148"/>
        <v>0</v>
      </c>
      <c r="S1031" s="458">
        <f t="shared" si="1148"/>
        <v>0</v>
      </c>
      <c r="T1031" s="458">
        <f t="shared" si="1148"/>
        <v>700000</v>
      </c>
      <c r="U1031" s="458"/>
      <c r="V1031" s="458"/>
      <c r="W1031" s="458"/>
      <c r="X1031" s="458"/>
      <c r="Y1031" s="458"/>
      <c r="Z1031" s="458">
        <f t="shared" ref="Z1031:AA1031" si="1149">SUM(Z1026:Z1030)</f>
        <v>0</v>
      </c>
      <c r="AA1031" s="458">
        <f t="shared" si="1149"/>
        <v>700000</v>
      </c>
      <c r="AB1031" s="458"/>
      <c r="AC1031" s="458"/>
      <c r="AD1031" s="458"/>
      <c r="AE1031" s="458">
        <f t="shared" ref="AE1031:AI1031" si="1150">SUM(AE1026:AE1030)</f>
        <v>-112000</v>
      </c>
      <c r="AF1031" s="458"/>
      <c r="AG1031" s="458">
        <f t="shared" si="1150"/>
        <v>-112000</v>
      </c>
      <c r="AH1031" s="458">
        <f t="shared" si="1150"/>
        <v>588000</v>
      </c>
      <c r="AI1031" s="458">
        <f t="shared" si="1150"/>
        <v>588000</v>
      </c>
      <c r="AJ1031" s="770">
        <f>AI1031/AH1031*100</f>
        <v>100</v>
      </c>
    </row>
    <row r="1032" spans="1:36" ht="14">
      <c r="A1032" s="40"/>
      <c r="B1032" s="40"/>
      <c r="C1032" s="124"/>
      <c r="D1032" s="124"/>
      <c r="E1032" s="124"/>
      <c r="F1032" s="41"/>
      <c r="G1032" s="41"/>
      <c r="H1032" s="66"/>
      <c r="I1032" s="41"/>
      <c r="J1032" s="126"/>
      <c r="K1032" s="204"/>
      <c r="L1032" s="205"/>
      <c r="M1032" s="205"/>
      <c r="N1032" s="205"/>
      <c r="O1032" s="205"/>
      <c r="P1032" s="205"/>
      <c r="Q1032" s="205"/>
      <c r="R1032" s="205"/>
      <c r="S1032" s="205"/>
      <c r="T1032" s="205"/>
      <c r="U1032" s="205"/>
      <c r="V1032" s="205"/>
      <c r="W1032" s="205"/>
      <c r="X1032" s="205"/>
      <c r="Y1032" s="205"/>
      <c r="Z1032" s="205"/>
      <c r="AA1032" s="205"/>
      <c r="AB1032" s="205"/>
      <c r="AC1032" s="205"/>
      <c r="AD1032" s="205"/>
      <c r="AE1032" s="205"/>
      <c r="AF1032" s="205"/>
      <c r="AG1032" s="205"/>
      <c r="AH1032" s="205"/>
      <c r="AI1032" s="205"/>
      <c r="AJ1032" s="747"/>
    </row>
    <row r="1033" spans="1:36" ht="14">
      <c r="A1033" s="40"/>
      <c r="B1033" s="40">
        <v>5</v>
      </c>
      <c r="C1033" s="124"/>
      <c r="D1033" s="124"/>
      <c r="E1033" s="124"/>
      <c r="F1033" s="41"/>
      <c r="G1033" s="41" t="s">
        <v>153</v>
      </c>
      <c r="H1033" s="66"/>
      <c r="I1033" s="66"/>
      <c r="J1033" s="126"/>
      <c r="K1033" s="204"/>
      <c r="L1033" s="205"/>
      <c r="M1033" s="205"/>
      <c r="N1033" s="205"/>
      <c r="O1033" s="205"/>
      <c r="P1033" s="205"/>
      <c r="Q1033" s="205"/>
      <c r="R1033" s="205"/>
      <c r="S1033" s="205"/>
      <c r="T1033" s="205"/>
      <c r="U1033" s="205"/>
      <c r="V1033" s="205"/>
      <c r="W1033" s="205"/>
      <c r="X1033" s="205"/>
      <c r="Y1033" s="205"/>
      <c r="Z1033" s="205"/>
      <c r="AA1033" s="205"/>
      <c r="AB1033" s="205"/>
      <c r="AC1033" s="205"/>
      <c r="AD1033" s="205"/>
      <c r="AE1033" s="205"/>
      <c r="AF1033" s="205"/>
      <c r="AG1033" s="205"/>
      <c r="AH1033" s="205"/>
      <c r="AI1033" s="205"/>
      <c r="AJ1033" s="747"/>
    </row>
    <row r="1034" spans="1:36" ht="14">
      <c r="A1034" s="40"/>
      <c r="B1034" s="40"/>
      <c r="C1034" s="124">
        <v>1</v>
      </c>
      <c r="D1034" s="124"/>
      <c r="E1034" s="124"/>
      <c r="F1034" s="41"/>
      <c r="G1034" s="41"/>
      <c r="H1034" s="66" t="s">
        <v>35</v>
      </c>
      <c r="I1034" s="125"/>
      <c r="J1034" s="128"/>
      <c r="K1034" s="208"/>
      <c r="L1034" s="217"/>
      <c r="M1034" s="217"/>
      <c r="N1034" s="217"/>
      <c r="O1034" s="217"/>
      <c r="P1034" s="217"/>
      <c r="Q1034" s="217"/>
      <c r="R1034" s="217"/>
      <c r="S1034" s="217"/>
      <c r="T1034" s="217"/>
      <c r="U1034" s="217"/>
      <c r="V1034" s="217"/>
      <c r="W1034" s="217"/>
      <c r="X1034" s="217"/>
      <c r="Y1034" s="217"/>
      <c r="Z1034" s="217"/>
      <c r="AA1034" s="217"/>
      <c r="AB1034" s="217"/>
      <c r="AC1034" s="217"/>
      <c r="AD1034" s="217"/>
      <c r="AE1034" s="217"/>
      <c r="AF1034" s="217"/>
      <c r="AG1034" s="217"/>
      <c r="AH1034" s="217"/>
      <c r="AI1034" s="217"/>
      <c r="AJ1034" s="764"/>
    </row>
    <row r="1035" spans="1:36" ht="14">
      <c r="A1035" s="40"/>
      <c r="B1035" s="40"/>
      <c r="C1035" s="124"/>
      <c r="D1035" s="124">
        <v>5</v>
      </c>
      <c r="E1035" s="124" t="s">
        <v>198</v>
      </c>
      <c r="F1035" s="451"/>
      <c r="G1035" s="41"/>
      <c r="H1035" s="66"/>
      <c r="I1035" s="66" t="s">
        <v>185</v>
      </c>
      <c r="J1035" s="452">
        <v>700000</v>
      </c>
      <c r="K1035" s="453"/>
      <c r="L1035" s="217">
        <f>SUM(J1035:K1035)</f>
        <v>700000</v>
      </c>
      <c r="M1035" s="217"/>
      <c r="N1035" s="217"/>
      <c r="O1035" s="217"/>
      <c r="P1035" s="217"/>
      <c r="Q1035" s="217"/>
      <c r="R1035" s="217"/>
      <c r="S1035" s="217">
        <f t="shared" ref="S1035" si="1151">SUM(M1035:R1035)</f>
        <v>0</v>
      </c>
      <c r="T1035" s="217">
        <f t="shared" ref="T1035" si="1152">S1035+L1035</f>
        <v>700000</v>
      </c>
      <c r="U1035" s="217"/>
      <c r="V1035" s="217"/>
      <c r="W1035" s="217"/>
      <c r="X1035" s="217"/>
      <c r="Y1035" s="217"/>
      <c r="Z1035" s="217">
        <f>SUM(U1035:Y1035)</f>
        <v>0</v>
      </c>
      <c r="AA1035" s="217">
        <f>Z1035+T1035</f>
        <v>700000</v>
      </c>
      <c r="AB1035" s="217"/>
      <c r="AC1035" s="217"/>
      <c r="AD1035" s="217"/>
      <c r="AE1035" s="217"/>
      <c r="AF1035" s="217"/>
      <c r="AG1035" s="217">
        <f t="shared" ref="AG1035" si="1153">SUM(AB1035:AF1035)</f>
        <v>0</v>
      </c>
      <c r="AH1035" s="217">
        <f t="shared" ref="AH1035" si="1154">AG1035+AA1035</f>
        <v>700000</v>
      </c>
      <c r="AI1035" s="217">
        <v>700000</v>
      </c>
      <c r="AJ1035" s="764">
        <f>AI1035/AH1035*100</f>
        <v>100</v>
      </c>
    </row>
    <row r="1036" spans="1:36" ht="14">
      <c r="A1036" s="40"/>
      <c r="B1036" s="40"/>
      <c r="C1036" s="124"/>
      <c r="D1036" s="124"/>
      <c r="E1036" s="124"/>
      <c r="F1036" s="41"/>
      <c r="G1036" s="41"/>
      <c r="H1036" s="66"/>
      <c r="I1036" s="66"/>
      <c r="J1036" s="126"/>
      <c r="K1036" s="204"/>
      <c r="L1036" s="205"/>
      <c r="M1036" s="205"/>
      <c r="N1036" s="205"/>
      <c r="O1036" s="205"/>
      <c r="P1036" s="205"/>
      <c r="Q1036" s="205"/>
      <c r="R1036" s="205"/>
      <c r="S1036" s="205"/>
      <c r="T1036" s="205"/>
      <c r="U1036" s="205"/>
      <c r="V1036" s="205"/>
      <c r="W1036" s="205"/>
      <c r="X1036" s="205"/>
      <c r="Y1036" s="205"/>
      <c r="Z1036" s="205"/>
      <c r="AA1036" s="205"/>
      <c r="AB1036" s="205"/>
      <c r="AC1036" s="205"/>
      <c r="AD1036" s="205"/>
      <c r="AE1036" s="205"/>
      <c r="AF1036" s="205"/>
      <c r="AG1036" s="205"/>
      <c r="AH1036" s="205"/>
      <c r="AI1036" s="205"/>
      <c r="AJ1036" s="747"/>
    </row>
    <row r="1037" spans="1:36" ht="14">
      <c r="A1037" s="40"/>
      <c r="B1037" s="40"/>
      <c r="C1037" s="124"/>
      <c r="D1037" s="124"/>
      <c r="E1037" s="124"/>
      <c r="F1037" s="173"/>
      <c r="G1037" s="64"/>
      <c r="H1037" s="65"/>
      <c r="I1037" s="64" t="s">
        <v>38</v>
      </c>
      <c r="J1037" s="333">
        <f>SUM(J1032:J1036)</f>
        <v>700000</v>
      </c>
      <c r="K1037" s="457"/>
      <c r="L1037" s="458">
        <f>SUM(L1032:L1036)</f>
        <v>700000</v>
      </c>
      <c r="M1037" s="458">
        <f t="shared" ref="M1037:T1037" si="1155">SUM(M1032:M1036)</f>
        <v>0</v>
      </c>
      <c r="N1037" s="458">
        <f t="shared" si="1155"/>
        <v>0</v>
      </c>
      <c r="O1037" s="458">
        <f t="shared" si="1155"/>
        <v>0</v>
      </c>
      <c r="P1037" s="458">
        <f t="shared" si="1155"/>
        <v>0</v>
      </c>
      <c r="Q1037" s="458">
        <f t="shared" si="1155"/>
        <v>0</v>
      </c>
      <c r="R1037" s="458">
        <f t="shared" si="1155"/>
        <v>0</v>
      </c>
      <c r="S1037" s="458">
        <f t="shared" si="1155"/>
        <v>0</v>
      </c>
      <c r="T1037" s="458">
        <f t="shared" si="1155"/>
        <v>700000</v>
      </c>
      <c r="U1037" s="458"/>
      <c r="V1037" s="458"/>
      <c r="W1037" s="458"/>
      <c r="X1037" s="458"/>
      <c r="Y1037" s="458"/>
      <c r="Z1037" s="458">
        <f t="shared" ref="Z1037:AA1037" si="1156">SUM(Z1032:Z1036)</f>
        <v>0</v>
      </c>
      <c r="AA1037" s="458">
        <f t="shared" si="1156"/>
        <v>700000</v>
      </c>
      <c r="AB1037" s="458"/>
      <c r="AC1037" s="458"/>
      <c r="AD1037" s="458"/>
      <c r="AE1037" s="458">
        <f t="shared" ref="AE1037" si="1157">SUM(AE1032:AE1036)</f>
        <v>0</v>
      </c>
      <c r="AF1037" s="458"/>
      <c r="AG1037" s="458">
        <f t="shared" ref="AG1037:AH1037" si="1158">SUM(AG1032:AG1036)</f>
        <v>0</v>
      </c>
      <c r="AH1037" s="458">
        <f t="shared" si="1158"/>
        <v>700000</v>
      </c>
      <c r="AI1037" s="458">
        <f t="shared" ref="AI1037" si="1159">SUM(AI1032:AI1036)</f>
        <v>700000</v>
      </c>
      <c r="AJ1037" s="770">
        <f>AI1037/AH1037*100</f>
        <v>100</v>
      </c>
    </row>
    <row r="1038" spans="1:36" ht="14">
      <c r="A1038" s="40"/>
      <c r="B1038" s="40"/>
      <c r="C1038" s="124"/>
      <c r="D1038" s="124"/>
      <c r="E1038" s="124"/>
      <c r="F1038" s="41"/>
      <c r="G1038" s="41"/>
      <c r="H1038" s="66"/>
      <c r="I1038" s="41"/>
      <c r="J1038" s="126"/>
      <c r="K1038" s="204"/>
      <c r="L1038" s="205"/>
      <c r="M1038" s="205"/>
      <c r="N1038" s="205"/>
      <c r="O1038" s="205"/>
      <c r="P1038" s="205"/>
      <c r="Q1038" s="205"/>
      <c r="R1038" s="205"/>
      <c r="S1038" s="205"/>
      <c r="T1038" s="205"/>
      <c r="U1038" s="205"/>
      <c r="V1038" s="205"/>
      <c r="W1038" s="205"/>
      <c r="X1038" s="205"/>
      <c r="Y1038" s="205"/>
      <c r="Z1038" s="205"/>
      <c r="AA1038" s="205"/>
      <c r="AB1038" s="205"/>
      <c r="AC1038" s="205"/>
      <c r="AD1038" s="205"/>
      <c r="AE1038" s="205"/>
      <c r="AF1038" s="205"/>
      <c r="AG1038" s="205"/>
      <c r="AH1038" s="205"/>
      <c r="AI1038" s="205"/>
      <c r="AJ1038" s="747"/>
    </row>
    <row r="1039" spans="1:36" ht="14">
      <c r="A1039" s="40"/>
      <c r="B1039" s="40"/>
      <c r="C1039" s="124"/>
      <c r="D1039" s="124"/>
      <c r="E1039" s="124"/>
      <c r="F1039" s="491"/>
      <c r="G1039" s="42"/>
      <c r="H1039" s="129"/>
      <c r="I1039" s="166" t="s">
        <v>37</v>
      </c>
      <c r="J1039" s="460">
        <f>SUM(J1008:J1037)/2</f>
        <v>5800000</v>
      </c>
      <c r="K1039" s="461"/>
      <c r="L1039" s="460">
        <f>SUM(L1008:L1037)/2</f>
        <v>5800000</v>
      </c>
      <c r="M1039" s="460">
        <f t="shared" ref="M1039:T1039" si="1160">SUM(M1008:M1037)/2</f>
        <v>0</v>
      </c>
      <c r="N1039" s="460">
        <f t="shared" si="1160"/>
        <v>0</v>
      </c>
      <c r="O1039" s="460">
        <f t="shared" si="1160"/>
        <v>0</v>
      </c>
      <c r="P1039" s="460">
        <f t="shared" si="1160"/>
        <v>0</v>
      </c>
      <c r="Q1039" s="460">
        <f t="shared" si="1160"/>
        <v>0</v>
      </c>
      <c r="R1039" s="460">
        <f t="shared" si="1160"/>
        <v>0</v>
      </c>
      <c r="S1039" s="460">
        <f t="shared" si="1160"/>
        <v>0</v>
      </c>
      <c r="T1039" s="460">
        <f t="shared" si="1160"/>
        <v>5800000</v>
      </c>
      <c r="U1039" s="460"/>
      <c r="V1039" s="460"/>
      <c r="W1039" s="460"/>
      <c r="X1039" s="460"/>
      <c r="Y1039" s="460"/>
      <c r="Z1039" s="460">
        <f t="shared" ref="Z1039:AA1039" si="1161">SUM(Z1008:Z1037)/2</f>
        <v>0</v>
      </c>
      <c r="AA1039" s="460">
        <f t="shared" si="1161"/>
        <v>5800000</v>
      </c>
      <c r="AB1039" s="460"/>
      <c r="AC1039" s="460"/>
      <c r="AD1039" s="460"/>
      <c r="AE1039" s="460">
        <f t="shared" ref="AE1039" si="1162">SUM(AE1008:AE1037)/2</f>
        <v>-112000</v>
      </c>
      <c r="AF1039" s="460"/>
      <c r="AG1039" s="460">
        <f t="shared" ref="AG1039:AH1039" si="1163">SUM(AG1008:AG1037)/2</f>
        <v>-112000</v>
      </c>
      <c r="AH1039" s="460">
        <f t="shared" si="1163"/>
        <v>5688000</v>
      </c>
      <c r="AI1039" s="460">
        <f t="shared" ref="AI1039" si="1164">SUM(AI1008:AI1037)/2</f>
        <v>5688000</v>
      </c>
      <c r="AJ1039" s="771">
        <f>AI1039/AH1039*100</f>
        <v>100</v>
      </c>
    </row>
    <row r="1040" spans="1:36" ht="14">
      <c r="A1040" s="40"/>
      <c r="B1040" s="40"/>
      <c r="C1040" s="124"/>
      <c r="D1040" s="124"/>
      <c r="E1040" s="124"/>
      <c r="F1040" s="41"/>
      <c r="G1040" s="41"/>
      <c r="H1040" s="66"/>
      <c r="I1040" s="41"/>
      <c r="J1040" s="132"/>
      <c r="K1040" s="210"/>
      <c r="L1040" s="219"/>
      <c r="M1040" s="219"/>
      <c r="N1040" s="219"/>
      <c r="O1040" s="219"/>
      <c r="P1040" s="219"/>
      <c r="Q1040" s="219"/>
      <c r="R1040" s="219"/>
      <c r="S1040" s="219"/>
      <c r="T1040" s="219"/>
      <c r="U1040" s="219"/>
      <c r="V1040" s="219"/>
      <c r="W1040" s="219"/>
      <c r="X1040" s="219"/>
      <c r="Y1040" s="219"/>
      <c r="Z1040" s="219"/>
      <c r="AA1040" s="219"/>
      <c r="AB1040" s="219"/>
      <c r="AC1040" s="219"/>
      <c r="AD1040" s="219"/>
      <c r="AE1040" s="219"/>
      <c r="AF1040" s="219"/>
      <c r="AG1040" s="219"/>
      <c r="AH1040" s="219"/>
      <c r="AI1040" s="219"/>
      <c r="AJ1040" s="777"/>
    </row>
    <row r="1041" spans="1:36" ht="14">
      <c r="A1041" s="40">
        <v>51</v>
      </c>
      <c r="B1041" s="40"/>
      <c r="C1041" s="124"/>
      <c r="D1041" s="124"/>
      <c r="E1041" s="124"/>
      <c r="F1041" s="41" t="s">
        <v>303</v>
      </c>
      <c r="G1041" s="41"/>
      <c r="H1041" s="66"/>
      <c r="I1041" s="41"/>
      <c r="J1041" s="132"/>
      <c r="K1041" s="210"/>
      <c r="L1041" s="219"/>
      <c r="M1041" s="219"/>
      <c r="N1041" s="219"/>
      <c r="O1041" s="219"/>
      <c r="P1041" s="219"/>
      <c r="Q1041" s="219"/>
      <c r="R1041" s="219"/>
      <c r="S1041" s="219"/>
      <c r="T1041" s="219"/>
      <c r="U1041" s="219"/>
      <c r="V1041" s="219"/>
      <c r="W1041" s="219"/>
      <c r="X1041" s="219"/>
      <c r="Y1041" s="219"/>
      <c r="Z1041" s="219"/>
      <c r="AA1041" s="219"/>
      <c r="AB1041" s="219"/>
      <c r="AC1041" s="219"/>
      <c r="AD1041" s="219"/>
      <c r="AE1041" s="219"/>
      <c r="AF1041" s="219"/>
      <c r="AG1041" s="219"/>
      <c r="AH1041" s="219"/>
      <c r="AI1041" s="219"/>
      <c r="AJ1041" s="777"/>
    </row>
    <row r="1042" spans="1:36" ht="14">
      <c r="A1042" s="40"/>
      <c r="B1042" s="40"/>
      <c r="C1042" s="124">
        <v>1</v>
      </c>
      <c r="D1042" s="124"/>
      <c r="E1042" s="124"/>
      <c r="F1042" s="41"/>
      <c r="G1042" s="41"/>
      <c r="H1042" s="66" t="s">
        <v>35</v>
      </c>
      <c r="I1042" s="125"/>
      <c r="J1042" s="126"/>
      <c r="K1042" s="204"/>
      <c r="L1042" s="205"/>
      <c r="M1042" s="205"/>
      <c r="N1042" s="205"/>
      <c r="O1042" s="205"/>
      <c r="P1042" s="205"/>
      <c r="Q1042" s="205"/>
      <c r="R1042" s="205"/>
      <c r="S1042" s="205"/>
      <c r="T1042" s="205"/>
      <c r="U1042" s="205"/>
      <c r="V1042" s="205"/>
      <c r="W1042" s="205"/>
      <c r="X1042" s="205"/>
      <c r="Y1042" s="205"/>
      <c r="Z1042" s="205"/>
      <c r="AA1042" s="205"/>
      <c r="AB1042" s="205"/>
      <c r="AC1042" s="205"/>
      <c r="AD1042" s="205"/>
      <c r="AE1042" s="205"/>
      <c r="AF1042" s="205"/>
      <c r="AG1042" s="205"/>
      <c r="AH1042" s="205"/>
      <c r="AI1042" s="205"/>
      <c r="AJ1042" s="747"/>
    </row>
    <row r="1043" spans="1:36" ht="14">
      <c r="A1043" s="40"/>
      <c r="B1043" s="40"/>
      <c r="C1043" s="124"/>
      <c r="D1043" s="124">
        <v>5</v>
      </c>
      <c r="E1043" s="124" t="s">
        <v>199</v>
      </c>
      <c r="F1043" s="41"/>
      <c r="G1043" s="41"/>
      <c r="H1043" s="66"/>
      <c r="I1043" s="125" t="s">
        <v>185</v>
      </c>
      <c r="J1043" s="128">
        <v>535050</v>
      </c>
      <c r="K1043" s="208"/>
      <c r="L1043" s="217">
        <f>SUM(J1043:K1043)</f>
        <v>535050</v>
      </c>
      <c r="M1043" s="217"/>
      <c r="N1043" s="217"/>
      <c r="O1043" s="217"/>
      <c r="P1043" s="217"/>
      <c r="Q1043" s="217"/>
      <c r="R1043" s="217"/>
      <c r="S1043" s="217">
        <f t="shared" ref="S1043" si="1165">SUM(M1043:R1043)</f>
        <v>0</v>
      </c>
      <c r="T1043" s="217">
        <f t="shared" ref="T1043" si="1166">S1043+L1043</f>
        <v>535050</v>
      </c>
      <c r="U1043" s="217"/>
      <c r="V1043" s="217"/>
      <c r="W1043" s="217"/>
      <c r="X1043" s="217"/>
      <c r="Y1043" s="217"/>
      <c r="Z1043" s="217">
        <f>SUM(U1043:Y1043)</f>
        <v>0</v>
      </c>
      <c r="AA1043" s="217">
        <f>Z1043+T1043</f>
        <v>535050</v>
      </c>
      <c r="AB1043" s="217"/>
      <c r="AC1043" s="217"/>
      <c r="AD1043" s="217"/>
      <c r="AE1043" s="217"/>
      <c r="AF1043" s="217"/>
      <c r="AG1043" s="217">
        <f t="shared" ref="AG1043" si="1167">SUM(AB1043:AF1043)</f>
        <v>0</v>
      </c>
      <c r="AH1043" s="217">
        <f t="shared" ref="AH1043" si="1168">AG1043+AA1043</f>
        <v>535050</v>
      </c>
      <c r="AI1043" s="217">
        <v>535050</v>
      </c>
      <c r="AJ1043" s="764">
        <f>AI1043/AH1043*100</f>
        <v>100</v>
      </c>
    </row>
    <row r="1044" spans="1:36" ht="14">
      <c r="A1044" s="40"/>
      <c r="B1044" s="40"/>
      <c r="C1044" s="124"/>
      <c r="D1044" s="124"/>
      <c r="E1044" s="124"/>
      <c r="F1044" s="41"/>
      <c r="G1044" s="41"/>
      <c r="H1044" s="66"/>
      <c r="I1044" s="125"/>
      <c r="J1044" s="126"/>
      <c r="K1044" s="204"/>
      <c r="L1044" s="205"/>
      <c r="M1044" s="205"/>
      <c r="N1044" s="205"/>
      <c r="O1044" s="205"/>
      <c r="P1044" s="205"/>
      <c r="Q1044" s="205"/>
      <c r="R1044" s="205"/>
      <c r="S1044" s="205"/>
      <c r="T1044" s="205"/>
      <c r="U1044" s="205"/>
      <c r="V1044" s="205"/>
      <c r="W1044" s="205"/>
      <c r="X1044" s="205"/>
      <c r="Y1044" s="205"/>
      <c r="Z1044" s="205"/>
      <c r="AA1044" s="205"/>
      <c r="AB1044" s="205"/>
      <c r="AC1044" s="205"/>
      <c r="AD1044" s="205"/>
      <c r="AE1044" s="205"/>
      <c r="AF1044" s="205"/>
      <c r="AG1044" s="205"/>
      <c r="AH1044" s="205"/>
      <c r="AI1044" s="205"/>
      <c r="AJ1044" s="747"/>
    </row>
    <row r="1045" spans="1:36" ht="14">
      <c r="A1045" s="40"/>
      <c r="B1045" s="40"/>
      <c r="C1045" s="124"/>
      <c r="D1045" s="124"/>
      <c r="E1045" s="124"/>
      <c r="F1045" s="42"/>
      <c r="G1045" s="42"/>
      <c r="H1045" s="129"/>
      <c r="I1045" s="130" t="s">
        <v>37</v>
      </c>
      <c r="J1045" s="131">
        <f>SUM(J1043:J1044)</f>
        <v>535050</v>
      </c>
      <c r="K1045" s="209"/>
      <c r="L1045" s="218">
        <f>SUM(L1043:L1044)</f>
        <v>535050</v>
      </c>
      <c r="M1045" s="218">
        <f t="shared" ref="M1045:T1045" si="1169">SUM(M1043:M1044)</f>
        <v>0</v>
      </c>
      <c r="N1045" s="218">
        <f t="shared" si="1169"/>
        <v>0</v>
      </c>
      <c r="O1045" s="218">
        <f t="shared" si="1169"/>
        <v>0</v>
      </c>
      <c r="P1045" s="218">
        <f t="shared" si="1169"/>
        <v>0</v>
      </c>
      <c r="Q1045" s="218">
        <f t="shared" si="1169"/>
        <v>0</v>
      </c>
      <c r="R1045" s="218">
        <f t="shared" si="1169"/>
        <v>0</v>
      </c>
      <c r="S1045" s="218">
        <f t="shared" si="1169"/>
        <v>0</v>
      </c>
      <c r="T1045" s="218">
        <f t="shared" si="1169"/>
        <v>535050</v>
      </c>
      <c r="U1045" s="218"/>
      <c r="V1045" s="218"/>
      <c r="W1045" s="218"/>
      <c r="X1045" s="218"/>
      <c r="Y1045" s="218"/>
      <c r="Z1045" s="218">
        <f t="shared" ref="Z1045:AA1045" si="1170">SUM(Z1043:Z1044)</f>
        <v>0</v>
      </c>
      <c r="AA1045" s="218">
        <f t="shared" si="1170"/>
        <v>535050</v>
      </c>
      <c r="AB1045" s="218"/>
      <c r="AC1045" s="218"/>
      <c r="AD1045" s="218"/>
      <c r="AE1045" s="218"/>
      <c r="AF1045" s="218"/>
      <c r="AG1045" s="218">
        <f t="shared" ref="AG1045:AI1045" si="1171">SUM(AG1043:AG1044)</f>
        <v>0</v>
      </c>
      <c r="AH1045" s="218">
        <f t="shared" si="1171"/>
        <v>535050</v>
      </c>
      <c r="AI1045" s="218">
        <f t="shared" si="1171"/>
        <v>535050</v>
      </c>
      <c r="AJ1045" s="776">
        <f>AI1045/AH1045*100</f>
        <v>100</v>
      </c>
    </row>
    <row r="1046" spans="1:36" ht="14">
      <c r="A1046" s="40"/>
      <c r="B1046" s="40"/>
      <c r="C1046" s="124"/>
      <c r="D1046" s="124"/>
      <c r="E1046" s="124"/>
      <c r="F1046" s="41"/>
      <c r="G1046" s="41"/>
      <c r="H1046" s="66"/>
      <c r="I1046" s="41"/>
      <c r="J1046" s="132"/>
      <c r="K1046" s="210"/>
      <c r="L1046" s="219"/>
      <c r="M1046" s="219"/>
      <c r="N1046" s="219"/>
      <c r="O1046" s="219"/>
      <c r="P1046" s="219"/>
      <c r="Q1046" s="219"/>
      <c r="R1046" s="219"/>
      <c r="S1046" s="219"/>
      <c r="T1046" s="219"/>
      <c r="U1046" s="219"/>
      <c r="V1046" s="219"/>
      <c r="W1046" s="219"/>
      <c r="X1046" s="219"/>
      <c r="Y1046" s="219"/>
      <c r="Z1046" s="219"/>
      <c r="AA1046" s="219"/>
      <c r="AB1046" s="219"/>
      <c r="AC1046" s="219"/>
      <c r="AD1046" s="219"/>
      <c r="AE1046" s="219"/>
      <c r="AF1046" s="219"/>
      <c r="AG1046" s="219"/>
      <c r="AH1046" s="219"/>
      <c r="AI1046" s="219"/>
      <c r="AJ1046" s="777"/>
    </row>
    <row r="1047" spans="1:36" ht="14">
      <c r="A1047" s="40">
        <v>52</v>
      </c>
      <c r="B1047" s="40"/>
      <c r="C1047" s="124"/>
      <c r="D1047" s="124"/>
      <c r="E1047" s="124"/>
      <c r="F1047" s="41" t="s">
        <v>208</v>
      </c>
      <c r="G1047" s="41"/>
      <c r="H1047" s="66"/>
      <c r="I1047" s="41"/>
      <c r="J1047" s="132"/>
      <c r="K1047" s="210"/>
      <c r="L1047" s="219"/>
      <c r="M1047" s="219"/>
      <c r="N1047" s="219"/>
      <c r="O1047" s="219"/>
      <c r="P1047" s="219"/>
      <c r="Q1047" s="219"/>
      <c r="R1047" s="219"/>
      <c r="S1047" s="219"/>
      <c r="T1047" s="219"/>
      <c r="U1047" s="219"/>
      <c r="V1047" s="219"/>
      <c r="W1047" s="219"/>
      <c r="X1047" s="219"/>
      <c r="Y1047" s="219"/>
      <c r="Z1047" s="219"/>
      <c r="AA1047" s="219"/>
      <c r="AB1047" s="219"/>
      <c r="AC1047" s="219"/>
      <c r="AD1047" s="219"/>
      <c r="AE1047" s="219"/>
      <c r="AF1047" s="219"/>
      <c r="AG1047" s="219"/>
      <c r="AH1047" s="219"/>
      <c r="AI1047" s="219"/>
      <c r="AJ1047" s="777"/>
    </row>
    <row r="1048" spans="1:36" ht="14">
      <c r="A1048" s="40"/>
      <c r="B1048" s="40"/>
      <c r="C1048" s="124">
        <v>1</v>
      </c>
      <c r="D1048" s="124"/>
      <c r="E1048" s="124"/>
      <c r="F1048" s="41"/>
      <c r="G1048" s="41"/>
      <c r="H1048" s="66" t="s">
        <v>35</v>
      </c>
      <c r="I1048" s="125"/>
      <c r="J1048" s="126"/>
      <c r="K1048" s="204"/>
      <c r="L1048" s="205"/>
      <c r="M1048" s="205"/>
      <c r="N1048" s="205"/>
      <c r="O1048" s="205"/>
      <c r="P1048" s="205"/>
      <c r="Q1048" s="205"/>
      <c r="R1048" s="205"/>
      <c r="S1048" s="205"/>
      <c r="T1048" s="205"/>
      <c r="U1048" s="205"/>
      <c r="V1048" s="205"/>
      <c r="W1048" s="205"/>
      <c r="X1048" s="205"/>
      <c r="Y1048" s="205"/>
      <c r="Z1048" s="205"/>
      <c r="AA1048" s="205"/>
      <c r="AB1048" s="205"/>
      <c r="AC1048" s="205"/>
      <c r="AD1048" s="205"/>
      <c r="AE1048" s="205"/>
      <c r="AF1048" s="205"/>
      <c r="AG1048" s="205"/>
      <c r="AH1048" s="205"/>
      <c r="AI1048" s="205"/>
      <c r="AJ1048" s="747"/>
    </row>
    <row r="1049" spans="1:36" ht="14">
      <c r="A1049" s="40"/>
      <c r="B1049" s="40"/>
      <c r="C1049" s="124"/>
      <c r="D1049" s="124">
        <v>5</v>
      </c>
      <c r="E1049" s="124" t="s">
        <v>199</v>
      </c>
      <c r="F1049" s="41"/>
      <c r="G1049" s="41"/>
      <c r="H1049" s="66"/>
      <c r="I1049" s="125" t="s">
        <v>185</v>
      </c>
      <c r="J1049" s="128">
        <v>1605150</v>
      </c>
      <c r="K1049" s="204"/>
      <c r="L1049" s="217">
        <f>SUM(J1049:K1049)</f>
        <v>1605150</v>
      </c>
      <c r="M1049" s="217"/>
      <c r="N1049" s="217"/>
      <c r="O1049" s="217"/>
      <c r="P1049" s="217"/>
      <c r="Q1049" s="217">
        <v>11468</v>
      </c>
      <c r="R1049" s="217"/>
      <c r="S1049" s="217">
        <f t="shared" ref="S1049" si="1172">SUM(M1049:R1049)</f>
        <v>11468</v>
      </c>
      <c r="T1049" s="217">
        <f t="shared" ref="T1049" si="1173">S1049+L1049</f>
        <v>1616618</v>
      </c>
      <c r="U1049" s="217"/>
      <c r="V1049" s="217"/>
      <c r="W1049" s="217"/>
      <c r="X1049" s="217"/>
      <c r="Y1049" s="217"/>
      <c r="Z1049" s="217">
        <f>SUM(U1049:Y1049)</f>
        <v>0</v>
      </c>
      <c r="AA1049" s="217">
        <f>Z1049+T1049</f>
        <v>1616618</v>
      </c>
      <c r="AB1049" s="217"/>
      <c r="AC1049" s="217"/>
      <c r="AD1049" s="217"/>
      <c r="AE1049" s="217"/>
      <c r="AF1049" s="217"/>
      <c r="AG1049" s="217">
        <f t="shared" ref="AG1049" si="1174">SUM(AB1049:AF1049)</f>
        <v>0</v>
      </c>
      <c r="AH1049" s="217">
        <f t="shared" ref="AH1049" si="1175">AG1049+AA1049</f>
        <v>1616618</v>
      </c>
      <c r="AI1049" s="217">
        <v>1616618</v>
      </c>
      <c r="AJ1049" s="764">
        <f>AI1049/AH1049*100</f>
        <v>100</v>
      </c>
    </row>
    <row r="1050" spans="1:36" ht="14">
      <c r="A1050" s="40"/>
      <c r="B1050" s="40"/>
      <c r="C1050" s="124"/>
      <c r="D1050" s="124"/>
      <c r="E1050" s="124"/>
      <c r="F1050" s="41"/>
      <c r="G1050" s="41"/>
      <c r="H1050" s="66"/>
      <c r="I1050" s="125"/>
      <c r="J1050" s="126"/>
      <c r="K1050" s="204"/>
      <c r="L1050" s="205"/>
      <c r="M1050" s="205"/>
      <c r="N1050" s="205"/>
      <c r="O1050" s="205"/>
      <c r="P1050" s="205"/>
      <c r="Q1050" s="205"/>
      <c r="R1050" s="205"/>
      <c r="S1050" s="205"/>
      <c r="T1050" s="205"/>
      <c r="U1050" s="205"/>
      <c r="V1050" s="205"/>
      <c r="W1050" s="205"/>
      <c r="X1050" s="205"/>
      <c r="Y1050" s="205"/>
      <c r="Z1050" s="205"/>
      <c r="AA1050" s="205"/>
      <c r="AB1050" s="205"/>
      <c r="AC1050" s="205"/>
      <c r="AD1050" s="205"/>
      <c r="AE1050" s="205"/>
      <c r="AF1050" s="205"/>
      <c r="AG1050" s="205"/>
      <c r="AH1050" s="205"/>
      <c r="AI1050" s="205"/>
      <c r="AJ1050" s="747"/>
    </row>
    <row r="1051" spans="1:36" ht="14">
      <c r="A1051" s="40"/>
      <c r="B1051" s="40"/>
      <c r="C1051" s="124"/>
      <c r="D1051" s="124"/>
      <c r="E1051" s="124"/>
      <c r="F1051" s="42"/>
      <c r="G1051" s="42"/>
      <c r="H1051" s="129"/>
      <c r="I1051" s="130" t="s">
        <v>37</v>
      </c>
      <c r="J1051" s="131">
        <f>SUM(J1049:J1050)</f>
        <v>1605150</v>
      </c>
      <c r="K1051" s="209"/>
      <c r="L1051" s="218">
        <f>SUM(L1049:L1050)</f>
        <v>1605150</v>
      </c>
      <c r="M1051" s="218">
        <f t="shared" ref="M1051:T1051" si="1176">SUM(M1049:M1050)</f>
        <v>0</v>
      </c>
      <c r="N1051" s="218">
        <f t="shared" si="1176"/>
        <v>0</v>
      </c>
      <c r="O1051" s="218">
        <f t="shared" si="1176"/>
        <v>0</v>
      </c>
      <c r="P1051" s="218">
        <f t="shared" si="1176"/>
        <v>0</v>
      </c>
      <c r="Q1051" s="218">
        <f t="shared" si="1176"/>
        <v>11468</v>
      </c>
      <c r="R1051" s="218">
        <f t="shared" si="1176"/>
        <v>0</v>
      </c>
      <c r="S1051" s="218">
        <f t="shared" si="1176"/>
        <v>11468</v>
      </c>
      <c r="T1051" s="218">
        <f t="shared" si="1176"/>
        <v>1616618</v>
      </c>
      <c r="U1051" s="218"/>
      <c r="V1051" s="218"/>
      <c r="W1051" s="218"/>
      <c r="X1051" s="218"/>
      <c r="Y1051" s="218"/>
      <c r="Z1051" s="218">
        <f t="shared" ref="Z1051:AA1051" si="1177">SUM(Z1049:Z1050)</f>
        <v>0</v>
      </c>
      <c r="AA1051" s="218">
        <f t="shared" si="1177"/>
        <v>1616618</v>
      </c>
      <c r="AB1051" s="218"/>
      <c r="AC1051" s="218"/>
      <c r="AD1051" s="218"/>
      <c r="AE1051" s="218"/>
      <c r="AF1051" s="218"/>
      <c r="AG1051" s="218">
        <f t="shared" ref="AG1051:AI1051" si="1178">SUM(AG1049:AG1050)</f>
        <v>0</v>
      </c>
      <c r="AH1051" s="218">
        <f t="shared" si="1178"/>
        <v>1616618</v>
      </c>
      <c r="AI1051" s="218">
        <f t="shared" si="1178"/>
        <v>1616618</v>
      </c>
      <c r="AJ1051" s="776">
        <f>AI1051/AH1051*100</f>
        <v>100</v>
      </c>
    </row>
    <row r="1052" spans="1:36" ht="14">
      <c r="A1052" s="40"/>
      <c r="B1052" s="40"/>
      <c r="C1052" s="124"/>
      <c r="D1052" s="124"/>
      <c r="E1052" s="124"/>
      <c r="F1052" s="41"/>
      <c r="G1052" s="41"/>
      <c r="H1052" s="66"/>
      <c r="I1052" s="41"/>
      <c r="J1052" s="132"/>
      <c r="K1052" s="210"/>
      <c r="L1052" s="219"/>
      <c r="M1052" s="219"/>
      <c r="N1052" s="219"/>
      <c r="O1052" s="219"/>
      <c r="P1052" s="219"/>
      <c r="Q1052" s="219"/>
      <c r="R1052" s="219"/>
      <c r="S1052" s="219"/>
      <c r="T1052" s="219"/>
      <c r="U1052" s="219"/>
      <c r="V1052" s="219"/>
      <c r="W1052" s="219"/>
      <c r="X1052" s="219"/>
      <c r="Y1052" s="219"/>
      <c r="Z1052" s="219"/>
      <c r="AA1052" s="219"/>
      <c r="AB1052" s="219"/>
      <c r="AC1052" s="219"/>
      <c r="AD1052" s="219"/>
      <c r="AE1052" s="219"/>
      <c r="AF1052" s="219"/>
      <c r="AG1052" s="219"/>
      <c r="AH1052" s="219"/>
      <c r="AI1052" s="219"/>
      <c r="AJ1052" s="777"/>
    </row>
    <row r="1053" spans="1:36" ht="14">
      <c r="A1053" s="40">
        <v>53</v>
      </c>
      <c r="B1053" s="40"/>
      <c r="C1053" s="124"/>
      <c r="D1053" s="124"/>
      <c r="E1053" s="124"/>
      <c r="F1053" s="942" t="s">
        <v>342</v>
      </c>
      <c r="G1053" s="935"/>
      <c r="H1053" s="935"/>
      <c r="I1053" s="936"/>
      <c r="J1053" s="132"/>
      <c r="K1053" s="210"/>
      <c r="L1053" s="219"/>
      <c r="M1053" s="219"/>
      <c r="N1053" s="219"/>
      <c r="O1053" s="219"/>
      <c r="P1053" s="219"/>
      <c r="Q1053" s="219"/>
      <c r="R1053" s="219"/>
      <c r="S1053" s="219"/>
      <c r="T1053" s="219"/>
      <c r="U1053" s="219"/>
      <c r="V1053" s="219"/>
      <c r="W1053" s="219"/>
      <c r="X1053" s="219"/>
      <c r="Y1053" s="219"/>
      <c r="Z1053" s="219"/>
      <c r="AA1053" s="219"/>
      <c r="AB1053" s="219"/>
      <c r="AC1053" s="219"/>
      <c r="AD1053" s="219"/>
      <c r="AE1053" s="219"/>
      <c r="AF1053" s="219"/>
      <c r="AG1053" s="219"/>
      <c r="AH1053" s="219"/>
      <c r="AI1053" s="219"/>
      <c r="AJ1053" s="777"/>
    </row>
    <row r="1054" spans="1:36" ht="14">
      <c r="A1054" s="40"/>
      <c r="B1054" s="40"/>
      <c r="C1054" s="124">
        <v>1</v>
      </c>
      <c r="D1054" s="124"/>
      <c r="E1054" s="124"/>
      <c r="F1054" s="41"/>
      <c r="G1054" s="41"/>
      <c r="H1054" s="66" t="s">
        <v>35</v>
      </c>
      <c r="I1054" s="125"/>
      <c r="J1054" s="126"/>
      <c r="K1054" s="204"/>
      <c r="L1054" s="205"/>
      <c r="M1054" s="205"/>
      <c r="N1054" s="205"/>
      <c r="O1054" s="205"/>
      <c r="P1054" s="205"/>
      <c r="Q1054" s="205"/>
      <c r="R1054" s="205"/>
      <c r="S1054" s="205"/>
      <c r="T1054" s="205"/>
      <c r="U1054" s="205"/>
      <c r="V1054" s="205"/>
      <c r="W1054" s="205"/>
      <c r="X1054" s="205"/>
      <c r="Y1054" s="205"/>
      <c r="Z1054" s="205"/>
      <c r="AA1054" s="205"/>
      <c r="AB1054" s="205"/>
      <c r="AC1054" s="205"/>
      <c r="AD1054" s="205"/>
      <c r="AE1054" s="205"/>
      <c r="AF1054" s="205"/>
      <c r="AG1054" s="205"/>
      <c r="AH1054" s="205"/>
      <c r="AI1054" s="205"/>
      <c r="AJ1054" s="747"/>
    </row>
    <row r="1055" spans="1:36" ht="14">
      <c r="A1055" s="40"/>
      <c r="B1055" s="40"/>
      <c r="C1055" s="124"/>
      <c r="D1055" s="124">
        <v>3</v>
      </c>
      <c r="E1055" s="124" t="s">
        <v>199</v>
      </c>
      <c r="F1055" s="41"/>
      <c r="G1055" s="41"/>
      <c r="H1055" s="66"/>
      <c r="I1055" s="125" t="s">
        <v>116</v>
      </c>
      <c r="J1055" s="128">
        <v>12000000</v>
      </c>
      <c r="K1055" s="208"/>
      <c r="L1055" s="217">
        <f>SUM(J1055:K1055)</f>
        <v>12000000</v>
      </c>
      <c r="M1055" s="217">
        <v>5466210</v>
      </c>
      <c r="N1055" s="217"/>
      <c r="O1055" s="217"/>
      <c r="P1055" s="217"/>
      <c r="Q1055" s="217"/>
      <c r="R1055" s="217"/>
      <c r="S1055" s="217">
        <f t="shared" ref="S1055" si="1179">SUM(M1055:R1055)</f>
        <v>5466210</v>
      </c>
      <c r="T1055" s="217">
        <f t="shared" ref="T1055" si="1180">S1055+L1055</f>
        <v>17466210</v>
      </c>
      <c r="U1055" s="217"/>
      <c r="V1055" s="217"/>
      <c r="W1055" s="217"/>
      <c r="X1055" s="217">
        <v>-391700</v>
      </c>
      <c r="Y1055" s="217"/>
      <c r="Z1055" s="217">
        <f>SUM(U1055:Y1055)</f>
        <v>-391700</v>
      </c>
      <c r="AA1055" s="217">
        <f>Z1055+T1055</f>
        <v>17074510</v>
      </c>
      <c r="AB1055" s="217"/>
      <c r="AC1055" s="217"/>
      <c r="AD1055" s="217"/>
      <c r="AE1055" s="217"/>
      <c r="AF1055" s="217"/>
      <c r="AG1055" s="217">
        <f t="shared" ref="AG1055" si="1181">SUM(AB1055:AF1055)</f>
        <v>0</v>
      </c>
      <c r="AH1055" s="217">
        <f t="shared" ref="AH1055" si="1182">AG1055+AA1055</f>
        <v>17074510</v>
      </c>
      <c r="AI1055" s="217">
        <v>11284966</v>
      </c>
      <c r="AJ1055" s="764">
        <f>AI1055/AH1055*100</f>
        <v>66.092473517541649</v>
      </c>
    </row>
    <row r="1056" spans="1:36" ht="14">
      <c r="A1056" s="40"/>
      <c r="B1056" s="40"/>
      <c r="C1056" s="124"/>
      <c r="D1056" s="124"/>
      <c r="E1056" s="124"/>
      <c r="F1056" s="41"/>
      <c r="G1056" s="41"/>
      <c r="H1056" s="66"/>
      <c r="I1056" s="125"/>
      <c r="J1056" s="126"/>
      <c r="K1056" s="204"/>
      <c r="L1056" s="205"/>
      <c r="M1056" s="205"/>
      <c r="N1056" s="205"/>
      <c r="O1056" s="205"/>
      <c r="P1056" s="205"/>
      <c r="Q1056" s="205"/>
      <c r="R1056" s="205"/>
      <c r="S1056" s="205"/>
      <c r="T1056" s="205"/>
      <c r="U1056" s="205"/>
      <c r="V1056" s="205"/>
      <c r="W1056" s="205"/>
      <c r="X1056" s="205"/>
      <c r="Y1056" s="205"/>
      <c r="Z1056" s="205"/>
      <c r="AA1056" s="205"/>
      <c r="AB1056" s="205"/>
      <c r="AC1056" s="205"/>
      <c r="AD1056" s="205"/>
      <c r="AE1056" s="205"/>
      <c r="AF1056" s="205"/>
      <c r="AG1056" s="205"/>
      <c r="AH1056" s="205"/>
      <c r="AI1056" s="205"/>
      <c r="AJ1056" s="747"/>
    </row>
    <row r="1057" spans="1:36" ht="14">
      <c r="A1057" s="40"/>
      <c r="B1057" s="40"/>
      <c r="C1057" s="124"/>
      <c r="D1057" s="124"/>
      <c r="E1057" s="124"/>
      <c r="F1057" s="42"/>
      <c r="G1057" s="42"/>
      <c r="H1057" s="129"/>
      <c r="I1057" s="130" t="s">
        <v>37</v>
      </c>
      <c r="J1057" s="131">
        <f>SUM(J1055:J1056)</f>
        <v>12000000</v>
      </c>
      <c r="K1057" s="209"/>
      <c r="L1057" s="218">
        <f>SUM(L1055:L1056)</f>
        <v>12000000</v>
      </c>
      <c r="M1057" s="218">
        <f>SUM(M1055:M1056)</f>
        <v>5466210</v>
      </c>
      <c r="N1057" s="218">
        <f t="shared" ref="N1057:T1057" si="1183">SUM(N1055:N1056)</f>
        <v>0</v>
      </c>
      <c r="O1057" s="218">
        <f t="shared" si="1183"/>
        <v>0</v>
      </c>
      <c r="P1057" s="218">
        <f t="shared" si="1183"/>
        <v>0</v>
      </c>
      <c r="Q1057" s="218">
        <f t="shared" si="1183"/>
        <v>0</v>
      </c>
      <c r="R1057" s="218">
        <f t="shared" si="1183"/>
        <v>0</v>
      </c>
      <c r="S1057" s="218">
        <f t="shared" si="1183"/>
        <v>5466210</v>
      </c>
      <c r="T1057" s="218">
        <f t="shared" si="1183"/>
        <v>17466210</v>
      </c>
      <c r="U1057" s="218"/>
      <c r="V1057" s="218"/>
      <c r="W1057" s="218"/>
      <c r="X1057" s="218">
        <f t="shared" ref="X1057:AA1057" si="1184">SUM(X1055:X1056)</f>
        <v>-391700</v>
      </c>
      <c r="Y1057" s="218"/>
      <c r="Z1057" s="218">
        <f t="shared" si="1184"/>
        <v>-391700</v>
      </c>
      <c r="AA1057" s="218">
        <f t="shared" si="1184"/>
        <v>17074510</v>
      </c>
      <c r="AB1057" s="218"/>
      <c r="AC1057" s="218"/>
      <c r="AD1057" s="218"/>
      <c r="AE1057" s="218">
        <f t="shared" ref="AE1057" si="1185">SUM(AE1055:AE1056)</f>
        <v>0</v>
      </c>
      <c r="AF1057" s="218"/>
      <c r="AG1057" s="218">
        <f t="shared" ref="AG1057:AI1057" si="1186">SUM(AG1055:AG1056)</f>
        <v>0</v>
      </c>
      <c r="AH1057" s="218">
        <f t="shared" si="1186"/>
        <v>17074510</v>
      </c>
      <c r="AI1057" s="218">
        <f t="shared" si="1186"/>
        <v>11284966</v>
      </c>
      <c r="AJ1057" s="776">
        <f>AI1057/AH1057*100</f>
        <v>66.092473517541649</v>
      </c>
    </row>
    <row r="1058" spans="1:36" ht="16" customHeight="1">
      <c r="A1058" s="40"/>
      <c r="B1058" s="40"/>
      <c r="C1058" s="124"/>
      <c r="D1058" s="124"/>
      <c r="E1058" s="124"/>
      <c r="F1058" s="41"/>
      <c r="G1058" s="41"/>
      <c r="H1058" s="66"/>
      <c r="I1058" s="41"/>
      <c r="J1058" s="126"/>
      <c r="K1058" s="204"/>
      <c r="L1058" s="205"/>
      <c r="M1058" s="205"/>
      <c r="N1058" s="205"/>
      <c r="O1058" s="205"/>
      <c r="P1058" s="205"/>
      <c r="Q1058" s="205"/>
      <c r="R1058" s="205"/>
      <c r="S1058" s="205"/>
      <c r="T1058" s="205"/>
      <c r="U1058" s="205"/>
      <c r="V1058" s="205"/>
      <c r="W1058" s="205"/>
      <c r="X1058" s="205"/>
      <c r="Y1058" s="205"/>
      <c r="Z1058" s="205"/>
      <c r="AA1058" s="205"/>
      <c r="AB1058" s="205"/>
      <c r="AC1058" s="205"/>
      <c r="AD1058" s="205"/>
      <c r="AE1058" s="205"/>
      <c r="AF1058" s="205"/>
      <c r="AG1058" s="205"/>
      <c r="AH1058" s="205"/>
      <c r="AI1058" s="205"/>
      <c r="AJ1058" s="747"/>
    </row>
    <row r="1059" spans="1:36" ht="16" customHeight="1">
      <c r="A1059" s="40">
        <v>54</v>
      </c>
      <c r="B1059" s="40"/>
      <c r="C1059" s="124"/>
      <c r="D1059" s="124"/>
      <c r="E1059" s="124"/>
      <c r="F1059" s="942" t="s">
        <v>13</v>
      </c>
      <c r="G1059" s="935"/>
      <c r="H1059" s="935"/>
      <c r="I1059" s="936"/>
      <c r="J1059" s="126"/>
      <c r="K1059" s="204"/>
      <c r="L1059" s="205"/>
      <c r="M1059" s="205"/>
      <c r="N1059" s="205"/>
      <c r="O1059" s="205"/>
      <c r="P1059" s="205"/>
      <c r="Q1059" s="205"/>
      <c r="R1059" s="205"/>
      <c r="S1059" s="205"/>
      <c r="T1059" s="205"/>
      <c r="U1059" s="205"/>
      <c r="V1059" s="205"/>
      <c r="W1059" s="205"/>
      <c r="X1059" s="205"/>
      <c r="Y1059" s="205"/>
      <c r="Z1059" s="205"/>
      <c r="AA1059" s="205"/>
      <c r="AB1059" s="205"/>
      <c r="AC1059" s="205"/>
      <c r="AD1059" s="205"/>
      <c r="AE1059" s="205"/>
      <c r="AF1059" s="205"/>
      <c r="AG1059" s="205"/>
      <c r="AH1059" s="205"/>
      <c r="AI1059" s="205"/>
      <c r="AJ1059" s="747"/>
    </row>
    <row r="1060" spans="1:36" ht="16" customHeight="1">
      <c r="A1060" s="40"/>
      <c r="B1060" s="40"/>
      <c r="C1060" s="124">
        <v>1</v>
      </c>
      <c r="D1060" s="124"/>
      <c r="E1060" s="124"/>
      <c r="F1060" s="41"/>
      <c r="G1060" s="41"/>
      <c r="H1060" s="66" t="s">
        <v>35</v>
      </c>
      <c r="I1060" s="125"/>
      <c r="J1060" s="126"/>
      <c r="K1060" s="208"/>
      <c r="L1060" s="217"/>
      <c r="M1060" s="217"/>
      <c r="N1060" s="217"/>
      <c r="O1060" s="217"/>
      <c r="P1060" s="217"/>
      <c r="Q1060" s="217"/>
      <c r="R1060" s="217"/>
      <c r="S1060" s="217"/>
      <c r="T1060" s="217"/>
      <c r="U1060" s="217"/>
      <c r="V1060" s="217"/>
      <c r="W1060" s="217"/>
      <c r="X1060" s="217"/>
      <c r="Y1060" s="217"/>
      <c r="Z1060" s="217"/>
      <c r="AA1060" s="217"/>
      <c r="AB1060" s="217"/>
      <c r="AC1060" s="217"/>
      <c r="AD1060" s="217"/>
      <c r="AE1060" s="217"/>
      <c r="AF1060" s="217"/>
      <c r="AG1060" s="217"/>
      <c r="AH1060" s="217"/>
      <c r="AI1060" s="217"/>
      <c r="AJ1060" s="764"/>
    </row>
    <row r="1061" spans="1:36" ht="16" customHeight="1">
      <c r="A1061" s="40"/>
      <c r="B1061" s="40"/>
      <c r="C1061" s="124"/>
      <c r="D1061" s="124">
        <v>1</v>
      </c>
      <c r="E1061" s="124" t="s">
        <v>198</v>
      </c>
      <c r="F1061" s="41"/>
      <c r="G1061" s="41"/>
      <c r="H1061" s="66"/>
      <c r="I1061" s="66" t="s">
        <v>180</v>
      </c>
      <c r="J1061" s="128">
        <v>2510460</v>
      </c>
      <c r="K1061" s="208"/>
      <c r="L1061" s="217">
        <f>SUM(J1061:K1061)</f>
        <v>2510460</v>
      </c>
      <c r="M1061" s="217"/>
      <c r="N1061" s="217"/>
      <c r="O1061" s="217"/>
      <c r="P1061" s="217"/>
      <c r="Q1061" s="217"/>
      <c r="R1061" s="217"/>
      <c r="S1061" s="217">
        <f t="shared" ref="S1061:S1062" si="1187">SUM(M1061:R1061)</f>
        <v>0</v>
      </c>
      <c r="T1061" s="217">
        <f t="shared" ref="T1061:T1062" si="1188">S1061+L1061</f>
        <v>2510460</v>
      </c>
      <c r="U1061" s="217"/>
      <c r="V1061" s="217"/>
      <c r="W1061" s="217"/>
      <c r="X1061" s="217"/>
      <c r="Y1061" s="217"/>
      <c r="Z1061" s="217">
        <f>SUM(U1061:Y1061)</f>
        <v>0</v>
      </c>
      <c r="AA1061" s="217">
        <f>Z1061+T1061</f>
        <v>2510460</v>
      </c>
      <c r="AB1061" s="217"/>
      <c r="AC1061" s="217"/>
      <c r="AD1061" s="217"/>
      <c r="AE1061" s="217"/>
      <c r="AF1061" s="217"/>
      <c r="AG1061" s="217">
        <f t="shared" ref="AG1061:AG1062" si="1189">SUM(AB1061:AF1061)</f>
        <v>0</v>
      </c>
      <c r="AH1061" s="217">
        <f t="shared" ref="AH1061:AH1062" si="1190">AG1061+AA1061</f>
        <v>2510460</v>
      </c>
      <c r="AI1061" s="217">
        <v>2128620</v>
      </c>
      <c r="AJ1061" s="764">
        <f t="shared" ref="AJ1061:AJ1062" si="1191">AI1061/AH1061*100</f>
        <v>84.790038479003854</v>
      </c>
    </row>
    <row r="1062" spans="1:36" ht="16" customHeight="1">
      <c r="A1062" s="40"/>
      <c r="B1062" s="40"/>
      <c r="C1062" s="124"/>
      <c r="D1062" s="124">
        <v>2</v>
      </c>
      <c r="E1062" s="124" t="s">
        <v>198</v>
      </c>
      <c r="F1062" s="41"/>
      <c r="G1062" s="41"/>
      <c r="H1062" s="66"/>
      <c r="I1062" s="66" t="s">
        <v>182</v>
      </c>
      <c r="J1062" s="128">
        <v>489540</v>
      </c>
      <c r="K1062" s="208"/>
      <c r="L1062" s="217">
        <f>SUM(J1062:K1062)</f>
        <v>489540</v>
      </c>
      <c r="M1062" s="217"/>
      <c r="N1062" s="217"/>
      <c r="O1062" s="217"/>
      <c r="P1062" s="217"/>
      <c r="Q1062" s="217"/>
      <c r="R1062" s="217"/>
      <c r="S1062" s="217">
        <f t="shared" si="1187"/>
        <v>0</v>
      </c>
      <c r="T1062" s="217">
        <f t="shared" si="1188"/>
        <v>489540</v>
      </c>
      <c r="U1062" s="217"/>
      <c r="V1062" s="217"/>
      <c r="W1062" s="217"/>
      <c r="X1062" s="217"/>
      <c r="Y1062" s="217"/>
      <c r="Z1062" s="217">
        <f>SUM(U1062:Y1062)</f>
        <v>0</v>
      </c>
      <c r="AA1062" s="217">
        <f>Z1062+T1062</f>
        <v>489540</v>
      </c>
      <c r="AB1062" s="217"/>
      <c r="AC1062" s="217"/>
      <c r="AD1062" s="217"/>
      <c r="AE1062" s="217"/>
      <c r="AF1062" s="217"/>
      <c r="AG1062" s="217">
        <f t="shared" si="1189"/>
        <v>0</v>
      </c>
      <c r="AH1062" s="217">
        <f t="shared" si="1190"/>
        <v>489540</v>
      </c>
      <c r="AI1062" s="217">
        <v>392496</v>
      </c>
      <c r="AJ1062" s="764">
        <f t="shared" si="1191"/>
        <v>80.17649221718348</v>
      </c>
    </row>
    <row r="1063" spans="1:36" ht="16" customHeight="1">
      <c r="A1063" s="40"/>
      <c r="B1063" s="40"/>
      <c r="C1063" s="124"/>
      <c r="D1063" s="124"/>
      <c r="E1063" s="124"/>
      <c r="F1063" s="496"/>
      <c r="G1063" s="497"/>
      <c r="H1063" s="498"/>
      <c r="I1063" s="499"/>
      <c r="J1063" s="126"/>
      <c r="K1063" s="208"/>
      <c r="L1063" s="217"/>
      <c r="M1063" s="217"/>
      <c r="N1063" s="217"/>
      <c r="O1063" s="217"/>
      <c r="P1063" s="217"/>
      <c r="Q1063" s="217"/>
      <c r="R1063" s="217"/>
      <c r="S1063" s="205"/>
      <c r="T1063" s="205"/>
      <c r="U1063" s="217"/>
      <c r="V1063" s="217"/>
      <c r="W1063" s="217"/>
      <c r="X1063" s="217"/>
      <c r="Y1063" s="217"/>
      <c r="Z1063" s="205"/>
      <c r="AA1063" s="205"/>
      <c r="AB1063" s="217"/>
      <c r="AC1063" s="217"/>
      <c r="AD1063" s="217"/>
      <c r="AE1063" s="217"/>
      <c r="AF1063" s="217"/>
      <c r="AG1063" s="205"/>
      <c r="AH1063" s="205"/>
      <c r="AI1063" s="205"/>
      <c r="AJ1063" s="747"/>
    </row>
    <row r="1064" spans="1:36" ht="16" customHeight="1">
      <c r="A1064" s="40"/>
      <c r="B1064" s="40"/>
      <c r="C1064" s="124"/>
      <c r="D1064" s="124"/>
      <c r="E1064" s="124"/>
      <c r="F1064" s="491"/>
      <c r="G1064" s="42"/>
      <c r="H1064" s="129"/>
      <c r="I1064" s="130" t="s">
        <v>37</v>
      </c>
      <c r="J1064" s="131">
        <f>SUM(J1061:J1063)</f>
        <v>3000000</v>
      </c>
      <c r="K1064" s="209">
        <f>SUM(K1061:K1063)</f>
        <v>0</v>
      </c>
      <c r="L1064" s="218">
        <f>SUM(L1061:L1063)</f>
        <v>3000000</v>
      </c>
      <c r="M1064" s="218">
        <f t="shared" ref="M1064:T1064" si="1192">SUM(M1061:M1063)</f>
        <v>0</v>
      </c>
      <c r="N1064" s="218">
        <f t="shared" si="1192"/>
        <v>0</v>
      </c>
      <c r="O1064" s="218">
        <f t="shared" si="1192"/>
        <v>0</v>
      </c>
      <c r="P1064" s="218">
        <f t="shared" si="1192"/>
        <v>0</v>
      </c>
      <c r="Q1064" s="218">
        <f t="shared" si="1192"/>
        <v>0</v>
      </c>
      <c r="R1064" s="218">
        <f t="shared" si="1192"/>
        <v>0</v>
      </c>
      <c r="S1064" s="218">
        <f t="shared" si="1192"/>
        <v>0</v>
      </c>
      <c r="T1064" s="218">
        <f t="shared" si="1192"/>
        <v>3000000</v>
      </c>
      <c r="U1064" s="218"/>
      <c r="V1064" s="218"/>
      <c r="W1064" s="218"/>
      <c r="X1064" s="218"/>
      <c r="Y1064" s="218"/>
      <c r="Z1064" s="218">
        <f t="shared" ref="Z1064:AA1064" si="1193">SUM(Z1061:Z1063)</f>
        <v>0</v>
      </c>
      <c r="AA1064" s="218">
        <f t="shared" si="1193"/>
        <v>3000000</v>
      </c>
      <c r="AB1064" s="218"/>
      <c r="AC1064" s="218"/>
      <c r="AD1064" s="218"/>
      <c r="AE1064" s="218"/>
      <c r="AF1064" s="218"/>
      <c r="AG1064" s="218">
        <f t="shared" ref="AG1064:AI1064" si="1194">SUM(AG1061:AG1063)</f>
        <v>0</v>
      </c>
      <c r="AH1064" s="218">
        <f t="shared" si="1194"/>
        <v>3000000</v>
      </c>
      <c r="AI1064" s="218">
        <f t="shared" si="1194"/>
        <v>2521116</v>
      </c>
      <c r="AJ1064" s="776">
        <f>AI1064/AH1064*100</f>
        <v>84.037199999999999</v>
      </c>
    </row>
    <row r="1065" spans="1:36" ht="16" customHeight="1">
      <c r="A1065" s="40"/>
      <c r="B1065" s="40"/>
      <c r="C1065" s="124"/>
      <c r="D1065" s="124"/>
      <c r="E1065" s="124"/>
      <c r="F1065" s="41"/>
      <c r="G1065" s="41"/>
      <c r="H1065" s="66"/>
      <c r="I1065" s="41"/>
      <c r="J1065" s="132"/>
      <c r="K1065" s="210"/>
      <c r="L1065" s="219"/>
      <c r="M1065" s="219"/>
      <c r="N1065" s="219"/>
      <c r="O1065" s="219"/>
      <c r="P1065" s="219"/>
      <c r="Q1065" s="219"/>
      <c r="R1065" s="219"/>
      <c r="S1065" s="219"/>
      <c r="T1065" s="219"/>
      <c r="U1065" s="219"/>
      <c r="V1065" s="219"/>
      <c r="W1065" s="219"/>
      <c r="X1065" s="219"/>
      <c r="Y1065" s="219"/>
      <c r="Z1065" s="219"/>
      <c r="AA1065" s="219"/>
      <c r="AB1065" s="219"/>
      <c r="AC1065" s="219"/>
      <c r="AD1065" s="219"/>
      <c r="AE1065" s="219"/>
      <c r="AF1065" s="219"/>
      <c r="AG1065" s="219"/>
      <c r="AH1065" s="219"/>
      <c r="AI1065" s="219"/>
      <c r="AJ1065" s="777"/>
    </row>
    <row r="1066" spans="1:36" ht="16" customHeight="1">
      <c r="A1066" s="40">
        <v>55</v>
      </c>
      <c r="B1066" s="40"/>
      <c r="C1066" s="124"/>
      <c r="D1066" s="124"/>
      <c r="E1066" s="124"/>
      <c r="F1066" s="942" t="s">
        <v>441</v>
      </c>
      <c r="G1066" s="935"/>
      <c r="H1066" s="935"/>
      <c r="I1066" s="936"/>
      <c r="J1066" s="132"/>
      <c r="K1066" s="210"/>
      <c r="L1066" s="219"/>
      <c r="M1066" s="219"/>
      <c r="N1066" s="219"/>
      <c r="O1066" s="219"/>
      <c r="P1066" s="219"/>
      <c r="Q1066" s="219"/>
      <c r="R1066" s="219"/>
      <c r="S1066" s="219"/>
      <c r="T1066" s="219"/>
      <c r="U1066" s="219"/>
      <c r="V1066" s="219"/>
      <c r="W1066" s="219"/>
      <c r="X1066" s="219"/>
      <c r="Y1066" s="219"/>
      <c r="Z1066" s="219"/>
      <c r="AA1066" s="219"/>
      <c r="AB1066" s="219"/>
      <c r="AC1066" s="219"/>
      <c r="AD1066" s="219"/>
      <c r="AE1066" s="219"/>
      <c r="AF1066" s="219"/>
      <c r="AG1066" s="219"/>
      <c r="AH1066" s="219"/>
      <c r="AI1066" s="219"/>
      <c r="AJ1066" s="777"/>
    </row>
    <row r="1067" spans="1:36" ht="29.5" customHeight="1">
      <c r="A1067" s="40"/>
      <c r="B1067" s="40">
        <v>1</v>
      </c>
      <c r="C1067" s="124"/>
      <c r="D1067" s="124"/>
      <c r="E1067" s="124"/>
      <c r="F1067" s="669"/>
      <c r="G1067" s="935" t="s">
        <v>442</v>
      </c>
      <c r="H1067" s="935"/>
      <c r="I1067" s="936"/>
      <c r="J1067" s="132"/>
      <c r="K1067" s="210"/>
      <c r="L1067" s="219"/>
      <c r="M1067" s="219"/>
      <c r="N1067" s="219"/>
      <c r="O1067" s="219"/>
      <c r="P1067" s="219"/>
      <c r="Q1067" s="219"/>
      <c r="R1067" s="219"/>
      <c r="S1067" s="219"/>
      <c r="T1067" s="219"/>
      <c r="U1067" s="219"/>
      <c r="V1067" s="219"/>
      <c r="W1067" s="219"/>
      <c r="X1067" s="219"/>
      <c r="Y1067" s="219"/>
      <c r="Z1067" s="219"/>
      <c r="AA1067" s="219"/>
      <c r="AB1067" s="219"/>
      <c r="AC1067" s="219"/>
      <c r="AD1067" s="219"/>
      <c r="AE1067" s="219"/>
      <c r="AF1067" s="219"/>
      <c r="AG1067" s="219"/>
      <c r="AH1067" s="219"/>
      <c r="AI1067" s="219"/>
      <c r="AJ1067" s="777"/>
    </row>
    <row r="1068" spans="1:36" ht="14">
      <c r="A1068" s="40"/>
      <c r="B1068" s="40"/>
      <c r="C1068" s="124">
        <v>1</v>
      </c>
      <c r="D1068" s="124"/>
      <c r="E1068" s="124"/>
      <c r="F1068" s="41"/>
      <c r="G1068" s="41"/>
      <c r="H1068" s="66" t="s">
        <v>35</v>
      </c>
      <c r="I1068" s="125"/>
      <c r="J1068" s="126"/>
      <c r="K1068" s="204"/>
      <c r="L1068" s="205"/>
      <c r="M1068" s="205"/>
      <c r="N1068" s="205"/>
      <c r="O1068" s="205"/>
      <c r="P1068" s="205"/>
      <c r="Q1068" s="205"/>
      <c r="R1068" s="205"/>
      <c r="S1068" s="205"/>
      <c r="T1068" s="205"/>
      <c r="U1068" s="205"/>
      <c r="V1068" s="205"/>
      <c r="W1068" s="205"/>
      <c r="X1068" s="205"/>
      <c r="Y1068" s="205"/>
      <c r="Z1068" s="205"/>
      <c r="AA1068" s="205"/>
      <c r="AB1068" s="205"/>
      <c r="AC1068" s="205"/>
      <c r="AD1068" s="205"/>
      <c r="AE1068" s="205"/>
      <c r="AF1068" s="205"/>
      <c r="AG1068" s="205"/>
      <c r="AH1068" s="205"/>
      <c r="AI1068" s="205"/>
      <c r="AJ1068" s="747"/>
    </row>
    <row r="1069" spans="1:36" ht="14">
      <c r="A1069" s="40"/>
      <c r="B1069" s="40"/>
      <c r="C1069" s="124"/>
      <c r="D1069" s="124">
        <v>3</v>
      </c>
      <c r="E1069" s="124" t="s">
        <v>198</v>
      </c>
      <c r="F1069" s="41"/>
      <c r="G1069" s="41"/>
      <c r="H1069" s="66"/>
      <c r="I1069" s="125" t="s">
        <v>116</v>
      </c>
      <c r="J1069" s="128">
        <v>19294949</v>
      </c>
      <c r="K1069" s="208"/>
      <c r="L1069" s="217">
        <f>SUM(J1069:K1069)</f>
        <v>19294949</v>
      </c>
      <c r="M1069" s="217"/>
      <c r="N1069" s="217"/>
      <c r="O1069" s="217"/>
      <c r="P1069" s="217"/>
      <c r="Q1069" s="217"/>
      <c r="R1069" s="217"/>
      <c r="S1069" s="217">
        <f t="shared" ref="S1069" si="1195">SUM(M1069:R1069)</f>
        <v>0</v>
      </c>
      <c r="T1069" s="217">
        <f t="shared" ref="T1069" si="1196">S1069+L1069</f>
        <v>19294949</v>
      </c>
      <c r="U1069" s="217"/>
      <c r="V1069" s="217"/>
      <c r="W1069" s="217"/>
      <c r="X1069" s="217"/>
      <c r="Y1069" s="217"/>
      <c r="Z1069" s="217">
        <f>SUM(U1069:Y1069)</f>
        <v>0</v>
      </c>
      <c r="AA1069" s="217">
        <f>Z1069+T1069</f>
        <v>19294949</v>
      </c>
      <c r="AB1069" s="217"/>
      <c r="AC1069" s="217"/>
      <c r="AD1069" s="217"/>
      <c r="AE1069" s="217"/>
      <c r="AF1069" s="217"/>
      <c r="AG1069" s="217">
        <f t="shared" ref="AG1069" si="1197">SUM(AB1069:AF1069)</f>
        <v>0</v>
      </c>
      <c r="AH1069" s="217">
        <f t="shared" ref="AH1069" si="1198">AG1069+AA1069</f>
        <v>19294949</v>
      </c>
      <c r="AI1069" s="217">
        <v>9093498</v>
      </c>
      <c r="AJ1069" s="764">
        <f>AI1069/AH1069*100</f>
        <v>47.128904046338761</v>
      </c>
    </row>
    <row r="1070" spans="1:36" ht="6.5" customHeight="1">
      <c r="A1070" s="40"/>
      <c r="B1070" s="40"/>
      <c r="C1070" s="124"/>
      <c r="D1070" s="124"/>
      <c r="E1070" s="124"/>
      <c r="F1070" s="41"/>
      <c r="G1070" s="41"/>
      <c r="H1070" s="66"/>
      <c r="I1070" s="125"/>
      <c r="J1070" s="128"/>
      <c r="K1070" s="208"/>
      <c r="L1070" s="217"/>
      <c r="M1070" s="217"/>
      <c r="N1070" s="217"/>
      <c r="O1070" s="217"/>
      <c r="P1070" s="217"/>
      <c r="Q1070" s="217"/>
      <c r="R1070" s="217"/>
      <c r="S1070" s="217"/>
      <c r="T1070" s="217"/>
      <c r="U1070" s="217"/>
      <c r="V1070" s="217"/>
      <c r="W1070" s="217"/>
      <c r="X1070" s="217"/>
      <c r="Y1070" s="217"/>
      <c r="Z1070" s="217"/>
      <c r="AA1070" s="217"/>
      <c r="AB1070" s="217"/>
      <c r="AC1070" s="217"/>
      <c r="AD1070" s="217"/>
      <c r="AE1070" s="217"/>
      <c r="AF1070" s="217"/>
      <c r="AG1070" s="217"/>
      <c r="AH1070" s="217"/>
      <c r="AI1070" s="217"/>
      <c r="AJ1070" s="764"/>
    </row>
    <row r="1071" spans="1:36" ht="16.5" customHeight="1">
      <c r="A1071" s="40"/>
      <c r="B1071" s="40"/>
      <c r="C1071" s="124"/>
      <c r="D1071" s="124"/>
      <c r="E1071" s="124"/>
      <c r="F1071" s="173"/>
      <c r="G1071" s="64"/>
      <c r="H1071" s="65"/>
      <c r="I1071" s="64" t="s">
        <v>38</v>
      </c>
      <c r="J1071" s="333">
        <f>SUM(J1066:J1070)</f>
        <v>19294949</v>
      </c>
      <c r="K1071" s="457"/>
      <c r="L1071" s="458">
        <f>SUM(L1066:L1070)</f>
        <v>19294949</v>
      </c>
      <c r="M1071" s="458">
        <f t="shared" ref="M1071:S1071" si="1199">SUM(M1066:M1070)</f>
        <v>0</v>
      </c>
      <c r="N1071" s="458">
        <f t="shared" si="1199"/>
        <v>0</v>
      </c>
      <c r="O1071" s="458">
        <f t="shared" si="1199"/>
        <v>0</v>
      </c>
      <c r="P1071" s="458">
        <f t="shared" si="1199"/>
        <v>0</v>
      </c>
      <c r="Q1071" s="458">
        <f t="shared" si="1199"/>
        <v>0</v>
      </c>
      <c r="R1071" s="458">
        <f t="shared" si="1199"/>
        <v>0</v>
      </c>
      <c r="S1071" s="458">
        <f t="shared" si="1199"/>
        <v>0</v>
      </c>
      <c r="T1071" s="458">
        <f t="shared" ref="T1071:Z1071" si="1200">SUM(T1066:T1070)</f>
        <v>19294949</v>
      </c>
      <c r="U1071" s="458"/>
      <c r="V1071" s="458"/>
      <c r="W1071" s="458"/>
      <c r="X1071" s="458"/>
      <c r="Y1071" s="458"/>
      <c r="Z1071" s="458">
        <f t="shared" si="1200"/>
        <v>0</v>
      </c>
      <c r="AA1071" s="458">
        <f t="shared" ref="AA1071" si="1201">SUM(AA1066:AA1070)</f>
        <v>19294949</v>
      </c>
      <c r="AB1071" s="458"/>
      <c r="AC1071" s="458"/>
      <c r="AD1071" s="458"/>
      <c r="AE1071" s="458"/>
      <c r="AF1071" s="458"/>
      <c r="AG1071" s="458">
        <f t="shared" ref="AG1071:AI1071" si="1202">SUM(AG1066:AG1070)</f>
        <v>0</v>
      </c>
      <c r="AH1071" s="458">
        <f t="shared" si="1202"/>
        <v>19294949</v>
      </c>
      <c r="AI1071" s="458">
        <f t="shared" si="1202"/>
        <v>9093498</v>
      </c>
      <c r="AJ1071" s="770">
        <f>AI1071/AH1071*100</f>
        <v>47.128904046338761</v>
      </c>
    </row>
    <row r="1072" spans="1:36" ht="7" customHeight="1">
      <c r="A1072" s="40"/>
      <c r="B1072" s="40"/>
      <c r="C1072" s="124"/>
      <c r="D1072" s="124"/>
      <c r="E1072" s="124"/>
      <c r="F1072" s="41"/>
      <c r="G1072" s="41"/>
      <c r="H1072" s="66"/>
      <c r="I1072" s="125"/>
      <c r="J1072" s="128"/>
      <c r="K1072" s="208"/>
      <c r="L1072" s="217"/>
      <c r="M1072" s="217"/>
      <c r="N1072" s="217"/>
      <c r="O1072" s="217"/>
      <c r="P1072" s="217"/>
      <c r="Q1072" s="217"/>
      <c r="R1072" s="217"/>
      <c r="S1072" s="217"/>
      <c r="T1072" s="217"/>
      <c r="U1072" s="217"/>
      <c r="V1072" s="217"/>
      <c r="W1072" s="217"/>
      <c r="X1072" s="217"/>
      <c r="Y1072" s="217"/>
      <c r="Z1072" s="217"/>
      <c r="AA1072" s="217"/>
      <c r="AB1072" s="217"/>
      <c r="AC1072" s="217"/>
      <c r="AD1072" s="217"/>
      <c r="AE1072" s="217"/>
      <c r="AF1072" s="217"/>
      <c r="AG1072" s="217"/>
      <c r="AH1072" s="217"/>
      <c r="AI1072" s="217"/>
      <c r="AJ1072" s="764"/>
    </row>
    <row r="1073" spans="1:36" ht="31.5" customHeight="1">
      <c r="A1073" s="40"/>
      <c r="B1073" s="40">
        <v>2</v>
      </c>
      <c r="C1073" s="124"/>
      <c r="D1073" s="124"/>
      <c r="E1073" s="124"/>
      <c r="F1073" s="41"/>
      <c r="G1073" s="935" t="s">
        <v>449</v>
      </c>
      <c r="H1073" s="935"/>
      <c r="I1073" s="936"/>
      <c r="J1073" s="128"/>
      <c r="K1073" s="208"/>
      <c r="L1073" s="217"/>
      <c r="M1073" s="217"/>
      <c r="N1073" s="217"/>
      <c r="O1073" s="217"/>
      <c r="P1073" s="217"/>
      <c r="Q1073" s="217"/>
      <c r="R1073" s="217"/>
      <c r="S1073" s="217"/>
      <c r="T1073" s="217"/>
      <c r="U1073" s="217"/>
      <c r="V1073" s="217"/>
      <c r="W1073" s="217"/>
      <c r="X1073" s="217"/>
      <c r="Y1073" s="217"/>
      <c r="Z1073" s="217"/>
      <c r="AA1073" s="217"/>
      <c r="AB1073" s="217"/>
      <c r="AC1073" s="217"/>
      <c r="AD1073" s="217"/>
      <c r="AE1073" s="217"/>
      <c r="AF1073" s="217"/>
      <c r="AG1073" s="217"/>
      <c r="AH1073" s="217"/>
      <c r="AI1073" s="217"/>
      <c r="AJ1073" s="764"/>
    </row>
    <row r="1074" spans="1:36" ht="14">
      <c r="A1074" s="40"/>
      <c r="B1074" s="40"/>
      <c r="C1074" s="124">
        <v>1</v>
      </c>
      <c r="D1074" s="124"/>
      <c r="E1074" s="124"/>
      <c r="F1074" s="41"/>
      <c r="G1074" s="41"/>
      <c r="H1074" s="66" t="s">
        <v>35</v>
      </c>
      <c r="I1074" s="125"/>
      <c r="J1074" s="128"/>
      <c r="K1074" s="208"/>
      <c r="L1074" s="217"/>
      <c r="M1074" s="217"/>
      <c r="N1074" s="217"/>
      <c r="O1074" s="217"/>
      <c r="P1074" s="217"/>
      <c r="Q1074" s="217"/>
      <c r="R1074" s="217"/>
      <c r="S1074" s="217"/>
      <c r="T1074" s="217"/>
      <c r="U1074" s="217"/>
      <c r="V1074" s="217"/>
      <c r="W1074" s="217"/>
      <c r="X1074" s="217"/>
      <c r="Y1074" s="217"/>
      <c r="Z1074" s="217"/>
      <c r="AA1074" s="217"/>
      <c r="AB1074" s="217"/>
      <c r="AC1074" s="217"/>
      <c r="AD1074" s="217"/>
      <c r="AE1074" s="217"/>
      <c r="AF1074" s="217"/>
      <c r="AG1074" s="217"/>
      <c r="AH1074" s="217"/>
      <c r="AI1074" s="217"/>
      <c r="AJ1074" s="764"/>
    </row>
    <row r="1075" spans="1:36" ht="14">
      <c r="A1075" s="40"/>
      <c r="B1075" s="40"/>
      <c r="C1075" s="124"/>
      <c r="D1075" s="465">
        <v>1</v>
      </c>
      <c r="E1075" s="465" t="s">
        <v>198</v>
      </c>
      <c r="F1075" s="125"/>
      <c r="G1075" s="481"/>
      <c r="H1075" s="125"/>
      <c r="I1075" s="66" t="s">
        <v>180</v>
      </c>
      <c r="J1075" s="128">
        <v>2885553</v>
      </c>
      <c r="K1075" s="208"/>
      <c r="L1075" s="217">
        <f>SUM(J1075:K1075)</f>
        <v>2885553</v>
      </c>
      <c r="M1075" s="217"/>
      <c r="N1075" s="217"/>
      <c r="O1075" s="217"/>
      <c r="P1075" s="217"/>
      <c r="Q1075" s="217"/>
      <c r="R1075" s="217"/>
      <c r="S1075" s="217">
        <f t="shared" ref="S1075:S1077" si="1203">SUM(M1075:R1075)</f>
        <v>0</v>
      </c>
      <c r="T1075" s="217">
        <f t="shared" ref="T1075:T1077" si="1204">S1075+L1075</f>
        <v>2885553</v>
      </c>
      <c r="U1075" s="217"/>
      <c r="V1075" s="217"/>
      <c r="W1075" s="217"/>
      <c r="X1075" s="217"/>
      <c r="Y1075" s="217"/>
      <c r="Z1075" s="217">
        <f>SUM(U1075:Y1075)</f>
        <v>0</v>
      </c>
      <c r="AA1075" s="217">
        <f>Z1075+T1075</f>
        <v>2885553</v>
      </c>
      <c r="AB1075" s="217"/>
      <c r="AC1075" s="217"/>
      <c r="AD1075" s="217"/>
      <c r="AE1075" s="217">
        <v>-11276</v>
      </c>
      <c r="AF1075" s="217"/>
      <c r="AG1075" s="217">
        <f t="shared" ref="AG1075:AG1077" si="1205">SUM(AB1075:AF1075)</f>
        <v>-11276</v>
      </c>
      <c r="AH1075" s="217">
        <f t="shared" ref="AH1075:AH1077" si="1206">AG1075+AA1075</f>
        <v>2874277</v>
      </c>
      <c r="AI1075" s="217">
        <v>772143</v>
      </c>
      <c r="AJ1075" s="764">
        <f t="shared" ref="AJ1075:AJ1077" si="1207">AI1075/AH1075*100</f>
        <v>26.86390351382278</v>
      </c>
    </row>
    <row r="1076" spans="1:36" ht="14">
      <c r="A1076" s="40"/>
      <c r="B1076" s="40"/>
      <c r="C1076" s="124"/>
      <c r="D1076" s="465">
        <v>2</v>
      </c>
      <c r="E1076" s="465" t="s">
        <v>198</v>
      </c>
      <c r="F1076" s="125"/>
      <c r="G1076" s="481"/>
      <c r="H1076" s="125"/>
      <c r="I1076" s="66" t="s">
        <v>182</v>
      </c>
      <c r="J1076" s="128">
        <v>601000</v>
      </c>
      <c r="K1076" s="208"/>
      <c r="L1076" s="217">
        <f>SUM(J1076:K1076)</f>
        <v>601000</v>
      </c>
      <c r="M1076" s="217"/>
      <c r="N1076" s="217"/>
      <c r="O1076" s="217"/>
      <c r="P1076" s="217"/>
      <c r="Q1076" s="217"/>
      <c r="R1076" s="217"/>
      <c r="S1076" s="217">
        <f t="shared" si="1203"/>
        <v>0</v>
      </c>
      <c r="T1076" s="217">
        <f t="shared" si="1204"/>
        <v>601000</v>
      </c>
      <c r="U1076" s="217"/>
      <c r="V1076" s="217"/>
      <c r="W1076" s="217"/>
      <c r="X1076" s="217"/>
      <c r="Y1076" s="217"/>
      <c r="Z1076" s="217">
        <f>SUM(U1076:Y1076)</f>
        <v>0</v>
      </c>
      <c r="AA1076" s="217">
        <f>Z1076+T1076</f>
        <v>601000</v>
      </c>
      <c r="AB1076" s="217"/>
      <c r="AC1076" s="217"/>
      <c r="AD1076" s="217"/>
      <c r="AE1076" s="217">
        <v>11276</v>
      </c>
      <c r="AF1076" s="217"/>
      <c r="AG1076" s="217">
        <f t="shared" si="1205"/>
        <v>11276</v>
      </c>
      <c r="AH1076" s="217">
        <f t="shared" si="1206"/>
        <v>612276</v>
      </c>
      <c r="AI1076" s="217">
        <v>254094</v>
      </c>
      <c r="AJ1076" s="764">
        <f t="shared" si="1207"/>
        <v>41.499911804480334</v>
      </c>
    </row>
    <row r="1077" spans="1:36" ht="14">
      <c r="A1077" s="40"/>
      <c r="B1077" s="40"/>
      <c r="C1077" s="124"/>
      <c r="D1077" s="465">
        <v>3</v>
      </c>
      <c r="E1077" s="465" t="s">
        <v>198</v>
      </c>
      <c r="F1077" s="125"/>
      <c r="G1077" s="481"/>
      <c r="H1077" s="125"/>
      <c r="I1077" s="66" t="s">
        <v>116</v>
      </c>
      <c r="J1077" s="128">
        <v>24600366</v>
      </c>
      <c r="K1077" s="208"/>
      <c r="L1077" s="217">
        <f>SUM(J1077:K1077)</f>
        <v>24600366</v>
      </c>
      <c r="M1077" s="217"/>
      <c r="N1077" s="217"/>
      <c r="O1077" s="217"/>
      <c r="P1077" s="217"/>
      <c r="Q1077" s="217"/>
      <c r="R1077" s="217"/>
      <c r="S1077" s="217">
        <f t="shared" si="1203"/>
        <v>0</v>
      </c>
      <c r="T1077" s="217">
        <f t="shared" si="1204"/>
        <v>24600366</v>
      </c>
      <c r="U1077" s="217"/>
      <c r="V1077" s="217"/>
      <c r="W1077" s="217"/>
      <c r="X1077" s="217"/>
      <c r="Y1077" s="217"/>
      <c r="Z1077" s="217">
        <f>SUM(U1077:Y1077)</f>
        <v>0</v>
      </c>
      <c r="AA1077" s="217">
        <f>Z1077+T1077</f>
        <v>24600366</v>
      </c>
      <c r="AB1077" s="217"/>
      <c r="AC1077" s="217"/>
      <c r="AD1077" s="217">
        <v>-2183473</v>
      </c>
      <c r="AE1077" s="217"/>
      <c r="AF1077" s="217"/>
      <c r="AG1077" s="217">
        <f t="shared" si="1205"/>
        <v>-2183473</v>
      </c>
      <c r="AH1077" s="217">
        <f t="shared" si="1206"/>
        <v>22416893</v>
      </c>
      <c r="AI1077" s="217">
        <v>12901366</v>
      </c>
      <c r="AJ1077" s="764">
        <f t="shared" si="1207"/>
        <v>57.551980999329388</v>
      </c>
    </row>
    <row r="1078" spans="1:36" ht="7.5" customHeight="1">
      <c r="A1078" s="40"/>
      <c r="B1078" s="40"/>
      <c r="C1078" s="124"/>
      <c r="D1078" s="124"/>
      <c r="E1078" s="124"/>
      <c r="F1078" s="41"/>
      <c r="G1078" s="41"/>
      <c r="H1078" s="66"/>
      <c r="I1078" s="125"/>
      <c r="J1078" s="128"/>
      <c r="K1078" s="208"/>
      <c r="L1078" s="217"/>
      <c r="M1078" s="217"/>
      <c r="N1078" s="217"/>
      <c r="O1078" s="217"/>
      <c r="P1078" s="217"/>
      <c r="Q1078" s="217"/>
      <c r="R1078" s="217"/>
      <c r="S1078" s="217"/>
      <c r="T1078" s="217"/>
      <c r="U1078" s="217"/>
      <c r="V1078" s="217"/>
      <c r="W1078" s="217"/>
      <c r="X1078" s="217"/>
      <c r="Y1078" s="217"/>
      <c r="Z1078" s="217"/>
      <c r="AA1078" s="217"/>
      <c r="AB1078" s="217"/>
      <c r="AC1078" s="217"/>
      <c r="AD1078" s="217"/>
      <c r="AE1078" s="217"/>
      <c r="AF1078" s="217"/>
      <c r="AG1078" s="217"/>
      <c r="AH1078" s="217"/>
      <c r="AI1078" s="217"/>
      <c r="AJ1078" s="764"/>
    </row>
    <row r="1079" spans="1:36" ht="16.5" customHeight="1">
      <c r="A1079" s="40"/>
      <c r="B1079" s="40"/>
      <c r="C1079" s="124"/>
      <c r="D1079" s="124"/>
      <c r="E1079" s="124"/>
      <c r="F1079" s="173"/>
      <c r="G1079" s="64"/>
      <c r="H1079" s="65"/>
      <c r="I1079" s="64" t="s">
        <v>38</v>
      </c>
      <c r="J1079" s="333">
        <f>SUM(J1075:J1078)</f>
        <v>28086919</v>
      </c>
      <c r="K1079" s="457"/>
      <c r="L1079" s="458">
        <f>SUM(L1074:L1078)</f>
        <v>28086919</v>
      </c>
      <c r="M1079" s="458">
        <f t="shared" ref="M1079:T1079" si="1208">SUM(M1074:M1078)</f>
        <v>0</v>
      </c>
      <c r="N1079" s="458">
        <f t="shared" si="1208"/>
        <v>0</v>
      </c>
      <c r="O1079" s="458">
        <f t="shared" si="1208"/>
        <v>0</v>
      </c>
      <c r="P1079" s="458">
        <f t="shared" si="1208"/>
        <v>0</v>
      </c>
      <c r="Q1079" s="458">
        <f t="shared" si="1208"/>
        <v>0</v>
      </c>
      <c r="R1079" s="458">
        <f t="shared" si="1208"/>
        <v>0</v>
      </c>
      <c r="S1079" s="458">
        <f t="shared" si="1208"/>
        <v>0</v>
      </c>
      <c r="T1079" s="458">
        <f t="shared" si="1208"/>
        <v>28086919</v>
      </c>
      <c r="U1079" s="458"/>
      <c r="V1079" s="458"/>
      <c r="W1079" s="458"/>
      <c r="X1079" s="458"/>
      <c r="Y1079" s="458"/>
      <c r="Z1079" s="458">
        <f t="shared" ref="Z1079:AA1079" si="1209">SUM(Z1074:Z1078)</f>
        <v>0</v>
      </c>
      <c r="AA1079" s="458">
        <f t="shared" si="1209"/>
        <v>28086919</v>
      </c>
      <c r="AB1079" s="458"/>
      <c r="AC1079" s="458"/>
      <c r="AD1079" s="458">
        <f t="shared" ref="AD1079:AE1079" si="1210">SUM(AD1074:AD1078)</f>
        <v>-2183473</v>
      </c>
      <c r="AE1079" s="458">
        <f t="shared" si="1210"/>
        <v>0</v>
      </c>
      <c r="AF1079" s="458"/>
      <c r="AG1079" s="458">
        <f t="shared" ref="AG1079:AI1079" si="1211">SUM(AG1074:AG1078)</f>
        <v>-2183473</v>
      </c>
      <c r="AH1079" s="458">
        <f t="shared" si="1211"/>
        <v>25903446</v>
      </c>
      <c r="AI1079" s="458">
        <f t="shared" si="1211"/>
        <v>13927603</v>
      </c>
      <c r="AJ1079" s="770">
        <f>AI1079/AH1079*100</f>
        <v>53.767375197879076</v>
      </c>
    </row>
    <row r="1080" spans="1:36" ht="14">
      <c r="A1080" s="40"/>
      <c r="B1080" s="40"/>
      <c r="C1080" s="124"/>
      <c r="D1080" s="124"/>
      <c r="E1080" s="124"/>
      <c r="F1080" s="41"/>
      <c r="G1080" s="41"/>
      <c r="H1080" s="66"/>
      <c r="I1080" s="125"/>
      <c r="J1080" s="128"/>
      <c r="K1080" s="208"/>
      <c r="L1080" s="217"/>
      <c r="M1080" s="217"/>
      <c r="N1080" s="217"/>
      <c r="O1080" s="217"/>
      <c r="P1080" s="217"/>
      <c r="Q1080" s="217"/>
      <c r="R1080" s="217"/>
      <c r="S1080" s="217"/>
      <c r="T1080" s="217"/>
      <c r="U1080" s="217"/>
      <c r="V1080" s="217"/>
      <c r="W1080" s="217"/>
      <c r="X1080" s="217"/>
      <c r="Y1080" s="217"/>
      <c r="Z1080" s="217"/>
      <c r="AA1080" s="217"/>
      <c r="AB1080" s="217"/>
      <c r="AC1080" s="217"/>
      <c r="AD1080" s="217"/>
      <c r="AE1080" s="217"/>
      <c r="AF1080" s="217"/>
      <c r="AG1080" s="217"/>
      <c r="AH1080" s="217"/>
      <c r="AI1080" s="217"/>
      <c r="AJ1080" s="764"/>
    </row>
    <row r="1081" spans="1:36" ht="31.5" customHeight="1">
      <c r="A1081" s="40"/>
      <c r="B1081" s="40">
        <v>3</v>
      </c>
      <c r="C1081" s="124"/>
      <c r="D1081" s="124"/>
      <c r="E1081" s="124"/>
      <c r="F1081" s="41"/>
      <c r="G1081" s="935" t="s">
        <v>471</v>
      </c>
      <c r="H1081" s="935"/>
      <c r="I1081" s="936"/>
      <c r="J1081" s="128"/>
      <c r="K1081" s="208"/>
      <c r="L1081" s="217"/>
      <c r="M1081" s="217"/>
      <c r="N1081" s="217"/>
      <c r="O1081" s="217"/>
      <c r="P1081" s="217"/>
      <c r="Q1081" s="217"/>
      <c r="R1081" s="217"/>
      <c r="S1081" s="217"/>
      <c r="T1081" s="217"/>
      <c r="U1081" s="217"/>
      <c r="V1081" s="217"/>
      <c r="W1081" s="217"/>
      <c r="X1081" s="217"/>
      <c r="Y1081" s="217"/>
      <c r="Z1081" s="217"/>
      <c r="AA1081" s="217"/>
      <c r="AB1081" s="217"/>
      <c r="AC1081" s="217"/>
      <c r="AD1081" s="217"/>
      <c r="AE1081" s="217"/>
      <c r="AF1081" s="217"/>
      <c r="AG1081" s="217"/>
      <c r="AH1081" s="217"/>
      <c r="AI1081" s="217"/>
      <c r="AJ1081" s="764"/>
    </row>
    <row r="1082" spans="1:36" ht="14">
      <c r="A1082" s="40"/>
      <c r="B1082" s="40"/>
      <c r="C1082" s="124">
        <v>1</v>
      </c>
      <c r="D1082" s="124"/>
      <c r="E1082" s="124"/>
      <c r="F1082" s="41"/>
      <c r="G1082" s="41"/>
      <c r="H1082" s="66" t="s">
        <v>35</v>
      </c>
      <c r="I1082" s="125"/>
      <c r="J1082" s="128"/>
      <c r="K1082" s="208"/>
      <c r="L1082" s="217"/>
      <c r="M1082" s="217"/>
      <c r="N1082" s="217"/>
      <c r="O1082" s="217"/>
      <c r="P1082" s="217"/>
      <c r="Q1082" s="217"/>
      <c r="R1082" s="217"/>
      <c r="S1082" s="217"/>
      <c r="T1082" s="217"/>
      <c r="U1082" s="217"/>
      <c r="V1082" s="217"/>
      <c r="W1082" s="217"/>
      <c r="X1082" s="217"/>
      <c r="Y1082" s="217"/>
      <c r="Z1082" s="217"/>
      <c r="AA1082" s="217"/>
      <c r="AB1082" s="217"/>
      <c r="AC1082" s="217"/>
      <c r="AD1082" s="217"/>
      <c r="AE1082" s="217"/>
      <c r="AF1082" s="217"/>
      <c r="AG1082" s="217"/>
      <c r="AH1082" s="217"/>
      <c r="AI1082" s="217"/>
      <c r="AJ1082" s="764"/>
    </row>
    <row r="1083" spans="1:36" ht="14">
      <c r="A1083" s="40"/>
      <c r="B1083" s="40"/>
      <c r="C1083" s="124"/>
      <c r="D1083" s="465">
        <v>1</v>
      </c>
      <c r="E1083" s="465" t="s">
        <v>198</v>
      </c>
      <c r="F1083" s="125"/>
      <c r="G1083" s="481"/>
      <c r="H1083" s="125"/>
      <c r="I1083" s="66" t="s">
        <v>180</v>
      </c>
      <c r="J1083" s="128">
        <v>6905270</v>
      </c>
      <c r="K1083" s="208"/>
      <c r="L1083" s="217">
        <f>SUM(J1083:K1083)</f>
        <v>6905270</v>
      </c>
      <c r="M1083" s="217"/>
      <c r="N1083" s="217"/>
      <c r="O1083" s="217"/>
      <c r="P1083" s="217"/>
      <c r="Q1083" s="217"/>
      <c r="R1083" s="217"/>
      <c r="S1083" s="217">
        <f t="shared" ref="S1083:S1085" si="1212">SUM(M1083:R1083)</f>
        <v>0</v>
      </c>
      <c r="T1083" s="217">
        <f t="shared" ref="T1083:T1085" si="1213">S1083+L1083</f>
        <v>6905270</v>
      </c>
      <c r="U1083" s="217"/>
      <c r="V1083" s="217"/>
      <c r="W1083" s="217"/>
      <c r="X1083" s="217"/>
      <c r="Y1083" s="217"/>
      <c r="Z1083" s="217">
        <f>SUM(U1083:Y1083)</f>
        <v>0</v>
      </c>
      <c r="AA1083" s="217">
        <f>Z1083+T1083</f>
        <v>6905270</v>
      </c>
      <c r="AB1083" s="217"/>
      <c r="AC1083" s="217"/>
      <c r="AD1083" s="217">
        <v>-344819</v>
      </c>
      <c r="AE1083" s="217"/>
      <c r="AF1083" s="217"/>
      <c r="AG1083" s="217">
        <f t="shared" ref="AG1083:AG1085" si="1214">SUM(AB1083:AF1083)</f>
        <v>-344819</v>
      </c>
      <c r="AH1083" s="217">
        <f t="shared" ref="AH1083:AH1085" si="1215">AG1083+AA1083</f>
        <v>6560451</v>
      </c>
      <c r="AI1083" s="217">
        <v>5961133</v>
      </c>
      <c r="AJ1083" s="764">
        <f t="shared" ref="AJ1083:AJ1085" si="1216">AI1083/AH1083*100</f>
        <v>90.864682931097263</v>
      </c>
    </row>
    <row r="1084" spans="1:36" ht="14">
      <c r="A1084" s="40"/>
      <c r="B1084" s="40"/>
      <c r="C1084" s="124"/>
      <c r="D1084" s="465">
        <v>2</v>
      </c>
      <c r="E1084" s="465" t="s">
        <v>198</v>
      </c>
      <c r="F1084" s="125"/>
      <c r="G1084" s="481"/>
      <c r="H1084" s="125"/>
      <c r="I1084" s="66" t="s">
        <v>182</v>
      </c>
      <c r="J1084" s="128">
        <v>1283725</v>
      </c>
      <c r="K1084" s="208"/>
      <c r="L1084" s="217">
        <f>SUM(J1084:K1084)</f>
        <v>1283725</v>
      </c>
      <c r="M1084" s="217"/>
      <c r="N1084" s="217"/>
      <c r="O1084" s="217"/>
      <c r="P1084" s="217"/>
      <c r="Q1084" s="217"/>
      <c r="R1084" s="217"/>
      <c r="S1084" s="217">
        <f t="shared" si="1212"/>
        <v>0</v>
      </c>
      <c r="T1084" s="217">
        <f t="shared" si="1213"/>
        <v>1283725</v>
      </c>
      <c r="U1084" s="217"/>
      <c r="V1084" s="217"/>
      <c r="W1084" s="217"/>
      <c r="X1084" s="217"/>
      <c r="Y1084" s="217"/>
      <c r="Z1084" s="217">
        <f>SUM(U1084:Y1084)</f>
        <v>0</v>
      </c>
      <c r="AA1084" s="217">
        <f>Z1084+T1084</f>
        <v>1283725</v>
      </c>
      <c r="AB1084" s="217"/>
      <c r="AC1084" s="217"/>
      <c r="AD1084" s="217">
        <v>-119488</v>
      </c>
      <c r="AE1084" s="217"/>
      <c r="AF1084" s="217"/>
      <c r="AG1084" s="217">
        <f t="shared" si="1214"/>
        <v>-119488</v>
      </c>
      <c r="AH1084" s="217">
        <f t="shared" si="1215"/>
        <v>1164237</v>
      </c>
      <c r="AI1084" s="217">
        <v>1053084</v>
      </c>
      <c r="AJ1084" s="764">
        <f t="shared" si="1216"/>
        <v>90.452717101414919</v>
      </c>
    </row>
    <row r="1085" spans="1:36" ht="14">
      <c r="A1085" s="40"/>
      <c r="B1085" s="40"/>
      <c r="C1085" s="124"/>
      <c r="D1085" s="465">
        <v>3</v>
      </c>
      <c r="E1085" s="465" t="s">
        <v>198</v>
      </c>
      <c r="F1085" s="125"/>
      <c r="G1085" s="481"/>
      <c r="H1085" s="125"/>
      <c r="I1085" s="66" t="s">
        <v>116</v>
      </c>
      <c r="J1085" s="128">
        <v>9311100</v>
      </c>
      <c r="K1085" s="208"/>
      <c r="L1085" s="217">
        <f>SUM(J1085:K1085)</f>
        <v>9311100</v>
      </c>
      <c r="M1085" s="217"/>
      <c r="N1085" s="217"/>
      <c r="O1085" s="217"/>
      <c r="P1085" s="217"/>
      <c r="Q1085" s="217"/>
      <c r="R1085" s="217"/>
      <c r="S1085" s="217">
        <f t="shared" si="1212"/>
        <v>0</v>
      </c>
      <c r="T1085" s="217">
        <f t="shared" si="1213"/>
        <v>9311100</v>
      </c>
      <c r="U1085" s="217"/>
      <c r="V1085" s="217"/>
      <c r="W1085" s="217"/>
      <c r="X1085" s="217"/>
      <c r="Y1085" s="217"/>
      <c r="Z1085" s="217">
        <f>SUM(U1085:Y1085)</f>
        <v>0</v>
      </c>
      <c r="AA1085" s="217">
        <f>Z1085+T1085</f>
        <v>9311100</v>
      </c>
      <c r="AB1085" s="217"/>
      <c r="AC1085" s="217"/>
      <c r="AD1085" s="217">
        <v>-4835566</v>
      </c>
      <c r="AE1085" s="217">
        <v>1953742</v>
      </c>
      <c r="AF1085" s="217"/>
      <c r="AG1085" s="217">
        <f t="shared" si="1214"/>
        <v>-2881824</v>
      </c>
      <c r="AH1085" s="217">
        <f t="shared" si="1215"/>
        <v>6429276</v>
      </c>
      <c r="AI1085" s="217">
        <v>6319116</v>
      </c>
      <c r="AJ1085" s="764">
        <f t="shared" si="1216"/>
        <v>98.286587789978213</v>
      </c>
    </row>
    <row r="1086" spans="1:36" ht="8.5" customHeight="1">
      <c r="A1086" s="40"/>
      <c r="B1086" s="40"/>
      <c r="C1086" s="124"/>
      <c r="D1086" s="124"/>
      <c r="E1086" s="124"/>
      <c r="F1086" s="41"/>
      <c r="G1086" s="41"/>
      <c r="H1086" s="66"/>
      <c r="I1086" s="125"/>
      <c r="J1086" s="128"/>
      <c r="K1086" s="208"/>
      <c r="L1086" s="217"/>
      <c r="M1086" s="217"/>
      <c r="N1086" s="217"/>
      <c r="O1086" s="217"/>
      <c r="P1086" s="217"/>
      <c r="Q1086" s="217"/>
      <c r="R1086" s="217"/>
      <c r="S1086" s="217"/>
      <c r="T1086" s="217"/>
      <c r="U1086" s="217"/>
      <c r="V1086" s="217"/>
      <c r="W1086" s="217"/>
      <c r="X1086" s="217"/>
      <c r="Y1086" s="217"/>
      <c r="Z1086" s="217"/>
      <c r="AA1086" s="217"/>
      <c r="AB1086" s="217"/>
      <c r="AC1086" s="217"/>
      <c r="AD1086" s="217"/>
      <c r="AE1086" s="217"/>
      <c r="AF1086" s="217"/>
      <c r="AG1086" s="217"/>
      <c r="AH1086" s="217"/>
      <c r="AI1086" s="217"/>
      <c r="AJ1086" s="764"/>
    </row>
    <row r="1087" spans="1:36" ht="13" customHeight="1">
      <c r="A1087" s="40"/>
      <c r="B1087" s="40"/>
      <c r="C1087" s="124"/>
      <c r="D1087" s="124"/>
      <c r="E1087" s="124"/>
      <c r="F1087" s="173"/>
      <c r="G1087" s="64"/>
      <c r="H1087" s="65"/>
      <c r="I1087" s="64" t="s">
        <v>38</v>
      </c>
      <c r="J1087" s="333">
        <f>SUM(J1083:J1086)</f>
        <v>17500095</v>
      </c>
      <c r="K1087" s="457"/>
      <c r="L1087" s="458">
        <f>SUM(L1082:L1086)</f>
        <v>17500095</v>
      </c>
      <c r="M1087" s="458">
        <f t="shared" ref="M1087:T1087" si="1217">SUM(M1082:M1086)</f>
        <v>0</v>
      </c>
      <c r="N1087" s="458">
        <f t="shared" si="1217"/>
        <v>0</v>
      </c>
      <c r="O1087" s="458">
        <f t="shared" si="1217"/>
        <v>0</v>
      </c>
      <c r="P1087" s="458">
        <f t="shared" si="1217"/>
        <v>0</v>
      </c>
      <c r="Q1087" s="458">
        <f t="shared" si="1217"/>
        <v>0</v>
      </c>
      <c r="R1087" s="458">
        <f t="shared" si="1217"/>
        <v>0</v>
      </c>
      <c r="S1087" s="458">
        <f t="shared" si="1217"/>
        <v>0</v>
      </c>
      <c r="T1087" s="458">
        <f t="shared" si="1217"/>
        <v>17500095</v>
      </c>
      <c r="U1087" s="458"/>
      <c r="V1087" s="458"/>
      <c r="W1087" s="458"/>
      <c r="X1087" s="458"/>
      <c r="Y1087" s="458"/>
      <c r="Z1087" s="458">
        <f t="shared" ref="Z1087:AA1087" si="1218">SUM(Z1082:Z1086)</f>
        <v>0</v>
      </c>
      <c r="AA1087" s="458">
        <f t="shared" si="1218"/>
        <v>17500095</v>
      </c>
      <c r="AB1087" s="458"/>
      <c r="AC1087" s="458"/>
      <c r="AD1087" s="458">
        <f t="shared" ref="AD1087:AI1087" si="1219">SUM(AD1082:AD1086)</f>
        <v>-5299873</v>
      </c>
      <c r="AE1087" s="458">
        <f t="shared" si="1219"/>
        <v>1953742</v>
      </c>
      <c r="AF1087" s="458"/>
      <c r="AG1087" s="458">
        <f t="shared" si="1219"/>
        <v>-3346131</v>
      </c>
      <c r="AH1087" s="458">
        <f t="shared" si="1219"/>
        <v>14153964</v>
      </c>
      <c r="AI1087" s="458">
        <f t="shared" si="1219"/>
        <v>13333333</v>
      </c>
      <c r="AJ1087" s="770">
        <f>AI1087/AH1087*100</f>
        <v>94.202111860677334</v>
      </c>
    </row>
    <row r="1088" spans="1:36" ht="13" customHeight="1">
      <c r="A1088" s="160"/>
      <c r="B1088" s="160"/>
      <c r="C1088" s="161"/>
      <c r="D1088" s="161"/>
      <c r="E1088" s="161"/>
      <c r="F1088" s="41"/>
      <c r="G1088" s="41"/>
      <c r="H1088" s="66"/>
      <c r="I1088" s="41"/>
      <c r="J1088" s="205"/>
      <c r="K1088" s="467"/>
      <c r="L1088" s="205"/>
      <c r="M1088" s="205"/>
      <c r="N1088" s="205"/>
      <c r="O1088" s="205"/>
      <c r="P1088" s="205"/>
      <c r="Q1088" s="205"/>
      <c r="R1088" s="205"/>
      <c r="S1088" s="205"/>
      <c r="T1088" s="205"/>
      <c r="U1088" s="205"/>
      <c r="V1088" s="205"/>
      <c r="W1088" s="205"/>
      <c r="X1088" s="205"/>
      <c r="Y1088" s="205"/>
      <c r="Z1088" s="205"/>
      <c r="AA1088" s="205"/>
      <c r="AB1088" s="205"/>
      <c r="AC1088" s="205"/>
      <c r="AD1088" s="205"/>
      <c r="AE1088" s="205"/>
      <c r="AF1088" s="205"/>
      <c r="AG1088" s="205"/>
      <c r="AH1088" s="205"/>
      <c r="AI1088" s="205"/>
      <c r="AJ1088" s="747"/>
    </row>
    <row r="1089" spans="1:36" ht="31.5" customHeight="1">
      <c r="A1089" s="40"/>
      <c r="B1089" s="40">
        <v>4</v>
      </c>
      <c r="C1089" s="124"/>
      <c r="D1089" s="124"/>
      <c r="E1089" s="124"/>
      <c r="F1089" s="41"/>
      <c r="G1089" s="935" t="s">
        <v>697</v>
      </c>
      <c r="H1089" s="935"/>
      <c r="I1089" s="936"/>
      <c r="J1089" s="128"/>
      <c r="K1089" s="208"/>
      <c r="L1089" s="217"/>
      <c r="M1089" s="217"/>
      <c r="N1089" s="217"/>
      <c r="O1089" s="217"/>
      <c r="P1089" s="217"/>
      <c r="Q1089" s="217"/>
      <c r="R1089" s="217"/>
      <c r="S1089" s="217"/>
      <c r="T1089" s="217"/>
      <c r="U1089" s="217"/>
      <c r="V1089" s="217"/>
      <c r="W1089" s="217"/>
      <c r="X1089" s="217"/>
      <c r="Y1089" s="217"/>
      <c r="Z1089" s="217"/>
      <c r="AA1089" s="217"/>
      <c r="AB1089" s="217"/>
      <c r="AC1089" s="217"/>
      <c r="AD1089" s="217"/>
      <c r="AE1089" s="217"/>
      <c r="AF1089" s="217"/>
      <c r="AG1089" s="217"/>
      <c r="AH1089" s="217"/>
      <c r="AI1089" s="217"/>
      <c r="AJ1089" s="764"/>
    </row>
    <row r="1090" spans="1:36" ht="14">
      <c r="A1090" s="40"/>
      <c r="B1090" s="40"/>
      <c r="C1090" s="124">
        <v>1</v>
      </c>
      <c r="D1090" s="124"/>
      <c r="E1090" s="124"/>
      <c r="F1090" s="41"/>
      <c r="G1090" s="41"/>
      <c r="H1090" s="66" t="s">
        <v>35</v>
      </c>
      <c r="I1090" s="125"/>
      <c r="J1090" s="128"/>
      <c r="K1090" s="208"/>
      <c r="L1090" s="217"/>
      <c r="M1090" s="217"/>
      <c r="N1090" s="217"/>
      <c r="O1090" s="217"/>
      <c r="P1090" s="217"/>
      <c r="Q1090" s="217"/>
      <c r="R1090" s="217"/>
      <c r="S1090" s="217"/>
      <c r="T1090" s="217"/>
      <c r="U1090" s="217"/>
      <c r="V1090" s="217"/>
      <c r="W1090" s="217"/>
      <c r="X1090" s="217"/>
      <c r="Y1090" s="217"/>
      <c r="Z1090" s="217"/>
      <c r="AA1090" s="217"/>
      <c r="AB1090" s="217"/>
      <c r="AC1090" s="217"/>
      <c r="AD1090" s="217"/>
      <c r="AE1090" s="217"/>
      <c r="AF1090" s="217"/>
      <c r="AG1090" s="217"/>
      <c r="AH1090" s="217"/>
      <c r="AI1090" s="217"/>
      <c r="AJ1090" s="764"/>
    </row>
    <row r="1091" spans="1:36" ht="14">
      <c r="A1091" s="40"/>
      <c r="B1091" s="40"/>
      <c r="C1091" s="124"/>
      <c r="D1091" s="465">
        <v>1</v>
      </c>
      <c r="E1091" s="465" t="s">
        <v>198</v>
      </c>
      <c r="F1091" s="125"/>
      <c r="G1091" s="481"/>
      <c r="H1091" s="125"/>
      <c r="I1091" s="66" t="s">
        <v>180</v>
      </c>
      <c r="J1091" s="128">
        <v>6905270</v>
      </c>
      <c r="K1091" s="208"/>
      <c r="L1091" s="217"/>
      <c r="M1091" s="217"/>
      <c r="N1091" s="217"/>
      <c r="O1091" s="217"/>
      <c r="P1091" s="217">
        <v>9409835</v>
      </c>
      <c r="Q1091" s="217"/>
      <c r="R1091" s="217"/>
      <c r="S1091" s="217">
        <f t="shared" ref="S1091:S1093" si="1220">SUM(M1091:R1091)</f>
        <v>9409835</v>
      </c>
      <c r="T1091" s="217">
        <f t="shared" ref="T1091:T1093" si="1221">S1091+L1091</f>
        <v>9409835</v>
      </c>
      <c r="U1091" s="217"/>
      <c r="V1091" s="217"/>
      <c r="W1091" s="217"/>
      <c r="X1091" s="217"/>
      <c r="Y1091" s="217"/>
      <c r="Z1091" s="217">
        <f>SUM(U1091:Y1091)</f>
        <v>0</v>
      </c>
      <c r="AA1091" s="217">
        <f>Z1091+T1091</f>
        <v>9409835</v>
      </c>
      <c r="AB1091" s="217"/>
      <c r="AC1091" s="217"/>
      <c r="AD1091" s="217"/>
      <c r="AE1091" s="217"/>
      <c r="AF1091" s="217"/>
      <c r="AG1091" s="217">
        <f t="shared" ref="AG1091:AG1093" si="1222">SUM(AB1091:AF1091)</f>
        <v>0</v>
      </c>
      <c r="AH1091" s="217">
        <f t="shared" ref="AH1091:AH1093" si="1223">AG1091+AA1091</f>
        <v>9409835</v>
      </c>
      <c r="AI1091" s="217">
        <v>6899363</v>
      </c>
      <c r="AJ1091" s="764">
        <f>AI1091/AH1091*100</f>
        <v>73.320764923083132</v>
      </c>
    </row>
    <row r="1092" spans="1:36" ht="14">
      <c r="A1092" s="40"/>
      <c r="B1092" s="40"/>
      <c r="C1092" s="124"/>
      <c r="D1092" s="465">
        <v>2</v>
      </c>
      <c r="E1092" s="465" t="s">
        <v>198</v>
      </c>
      <c r="F1092" s="125"/>
      <c r="G1092" s="481"/>
      <c r="H1092" s="125"/>
      <c r="I1092" s="66" t="s">
        <v>182</v>
      </c>
      <c r="J1092" s="128">
        <v>1283725</v>
      </c>
      <c r="K1092" s="208"/>
      <c r="L1092" s="217"/>
      <c r="M1092" s="217"/>
      <c r="N1092" s="217"/>
      <c r="O1092" s="217"/>
      <c r="P1092" s="217">
        <v>2070165</v>
      </c>
      <c r="Q1092" s="217"/>
      <c r="R1092" s="217"/>
      <c r="S1092" s="217">
        <f t="shared" si="1220"/>
        <v>2070165</v>
      </c>
      <c r="T1092" s="217">
        <f t="shared" si="1221"/>
        <v>2070165</v>
      </c>
      <c r="U1092" s="217"/>
      <c r="V1092" s="217"/>
      <c r="W1092" s="217"/>
      <c r="X1092" s="217"/>
      <c r="Y1092" s="217"/>
      <c r="Z1092" s="217">
        <f>SUM(U1092:Y1092)</f>
        <v>0</v>
      </c>
      <c r="AA1092" s="217">
        <f>Z1092+T1092</f>
        <v>2070165</v>
      </c>
      <c r="AB1092" s="217"/>
      <c r="AC1092" s="217"/>
      <c r="AD1092" s="217"/>
      <c r="AE1092" s="217"/>
      <c r="AF1092" s="217"/>
      <c r="AG1092" s="217">
        <f t="shared" si="1222"/>
        <v>0</v>
      </c>
      <c r="AH1092" s="217">
        <f t="shared" si="1223"/>
        <v>2070165</v>
      </c>
      <c r="AI1092" s="217">
        <v>462282</v>
      </c>
      <c r="AJ1092" s="764">
        <f t="shared" ref="AJ1092:AJ1093" si="1224">AI1092/AH1092*100</f>
        <v>22.330683786075024</v>
      </c>
    </row>
    <row r="1093" spans="1:36" ht="14">
      <c r="A1093" s="40"/>
      <c r="B1093" s="40"/>
      <c r="C1093" s="124"/>
      <c r="D1093" s="465">
        <v>3</v>
      </c>
      <c r="E1093" s="465" t="s">
        <v>198</v>
      </c>
      <c r="F1093" s="125"/>
      <c r="G1093" s="481"/>
      <c r="H1093" s="125"/>
      <c r="I1093" s="66" t="s">
        <v>116</v>
      </c>
      <c r="J1093" s="128">
        <v>9311100</v>
      </c>
      <c r="K1093" s="208"/>
      <c r="L1093" s="217"/>
      <c r="M1093" s="217"/>
      <c r="N1093" s="217"/>
      <c r="O1093" s="217"/>
      <c r="P1093" s="217">
        <v>26120000</v>
      </c>
      <c r="Q1093" s="217"/>
      <c r="R1093" s="217"/>
      <c r="S1093" s="217">
        <f t="shared" si="1220"/>
        <v>26120000</v>
      </c>
      <c r="T1093" s="217">
        <f t="shared" si="1221"/>
        <v>26120000</v>
      </c>
      <c r="U1093" s="217"/>
      <c r="V1093" s="217"/>
      <c r="W1093" s="217"/>
      <c r="X1093" s="217"/>
      <c r="Y1093" s="217"/>
      <c r="Z1093" s="217">
        <f>SUM(U1093:Y1093)</f>
        <v>0</v>
      </c>
      <c r="AA1093" s="217">
        <f>Z1093+T1093</f>
        <v>26120000</v>
      </c>
      <c r="AB1093" s="217"/>
      <c r="AC1093" s="217"/>
      <c r="AD1093" s="217"/>
      <c r="AE1093" s="217">
        <v>-2216300</v>
      </c>
      <c r="AF1093" s="217"/>
      <c r="AG1093" s="217">
        <f t="shared" si="1222"/>
        <v>-2216300</v>
      </c>
      <c r="AH1093" s="217">
        <f t="shared" si="1223"/>
        <v>23903700</v>
      </c>
      <c r="AI1093" s="217">
        <v>4159257</v>
      </c>
      <c r="AJ1093" s="764">
        <f t="shared" si="1224"/>
        <v>17.400055221576576</v>
      </c>
    </row>
    <row r="1094" spans="1:36" ht="14">
      <c r="A1094" s="40"/>
      <c r="B1094" s="40"/>
      <c r="C1094" s="124"/>
      <c r="D1094" s="124"/>
      <c r="E1094" s="124"/>
      <c r="F1094" s="41"/>
      <c r="G1094" s="41"/>
      <c r="H1094" s="66"/>
      <c r="I1094" s="125"/>
      <c r="J1094" s="128"/>
      <c r="K1094" s="208"/>
      <c r="L1094" s="217"/>
      <c r="M1094" s="217"/>
      <c r="N1094" s="217"/>
      <c r="O1094" s="217"/>
      <c r="P1094" s="217"/>
      <c r="Q1094" s="217"/>
      <c r="R1094" s="217"/>
      <c r="S1094" s="217"/>
      <c r="T1094" s="217"/>
      <c r="U1094" s="217"/>
      <c r="V1094" s="217"/>
      <c r="W1094" s="217"/>
      <c r="X1094" s="217"/>
      <c r="Y1094" s="217"/>
      <c r="Z1094" s="217"/>
      <c r="AA1094" s="217"/>
      <c r="AB1094" s="217"/>
      <c r="AC1094" s="217"/>
      <c r="AD1094" s="217"/>
      <c r="AE1094" s="217"/>
      <c r="AF1094" s="217"/>
      <c r="AG1094" s="217"/>
      <c r="AH1094" s="217"/>
      <c r="AI1094" s="217"/>
      <c r="AJ1094" s="764"/>
    </row>
    <row r="1095" spans="1:36" ht="13" customHeight="1">
      <c r="A1095" s="40"/>
      <c r="B1095" s="40"/>
      <c r="C1095" s="124"/>
      <c r="D1095" s="124"/>
      <c r="E1095" s="124"/>
      <c r="F1095" s="173"/>
      <c r="G1095" s="64"/>
      <c r="H1095" s="65"/>
      <c r="I1095" s="64" t="s">
        <v>38</v>
      </c>
      <c r="J1095" s="333">
        <f>SUM(J1091:J1094)</f>
        <v>17500095</v>
      </c>
      <c r="K1095" s="457"/>
      <c r="L1095" s="458">
        <f>SUM(L1090:L1094)</f>
        <v>0</v>
      </c>
      <c r="M1095" s="458">
        <f t="shared" ref="M1095:T1095" si="1225">SUM(M1090:M1094)</f>
        <v>0</v>
      </c>
      <c r="N1095" s="458">
        <f t="shared" si="1225"/>
        <v>0</v>
      </c>
      <c r="O1095" s="458">
        <f t="shared" si="1225"/>
        <v>0</v>
      </c>
      <c r="P1095" s="458">
        <f t="shared" si="1225"/>
        <v>37600000</v>
      </c>
      <c r="Q1095" s="458">
        <f t="shared" si="1225"/>
        <v>0</v>
      </c>
      <c r="R1095" s="458">
        <f t="shared" si="1225"/>
        <v>0</v>
      </c>
      <c r="S1095" s="458">
        <f t="shared" si="1225"/>
        <v>37600000</v>
      </c>
      <c r="T1095" s="458">
        <f t="shared" si="1225"/>
        <v>37600000</v>
      </c>
      <c r="U1095" s="458"/>
      <c r="V1095" s="458"/>
      <c r="W1095" s="458"/>
      <c r="X1095" s="458"/>
      <c r="Y1095" s="458"/>
      <c r="Z1095" s="458">
        <f t="shared" ref="Z1095:AA1095" si="1226">SUM(Z1090:Z1094)</f>
        <v>0</v>
      </c>
      <c r="AA1095" s="458">
        <f t="shared" si="1226"/>
        <v>37600000</v>
      </c>
      <c r="AB1095" s="458"/>
      <c r="AC1095" s="458"/>
      <c r="AD1095" s="458">
        <f t="shared" ref="AD1095:AE1095" si="1227">SUM(AD1090:AD1094)</f>
        <v>0</v>
      </c>
      <c r="AE1095" s="458">
        <f t="shared" si="1227"/>
        <v>-2216300</v>
      </c>
      <c r="AF1095" s="458"/>
      <c r="AG1095" s="458">
        <f t="shared" ref="AG1095:AH1095" si="1228">SUM(AG1090:AG1094)</f>
        <v>-2216300</v>
      </c>
      <c r="AH1095" s="458">
        <f t="shared" si="1228"/>
        <v>35383700</v>
      </c>
      <c r="AI1095" s="458">
        <f t="shared" ref="AI1095" si="1229">SUM(AI1090:AI1094)</f>
        <v>11520902</v>
      </c>
      <c r="AJ1095" s="770">
        <f>AI1095/AH1095*100</f>
        <v>32.559913180362713</v>
      </c>
    </row>
    <row r="1096" spans="1:36" ht="13" customHeight="1">
      <c r="A1096" s="160"/>
      <c r="B1096" s="160"/>
      <c r="C1096" s="161"/>
      <c r="D1096" s="161"/>
      <c r="E1096" s="161"/>
      <c r="F1096" s="41"/>
      <c r="G1096" s="41"/>
      <c r="H1096" s="66"/>
      <c r="I1096" s="41"/>
      <c r="J1096" s="205"/>
      <c r="K1096" s="467"/>
      <c r="L1096" s="205"/>
      <c r="M1096" s="205"/>
      <c r="N1096" s="205"/>
      <c r="O1096" s="205"/>
      <c r="P1096" s="205"/>
      <c r="Q1096" s="205"/>
      <c r="R1096" s="205"/>
      <c r="S1096" s="205"/>
      <c r="T1096" s="205"/>
      <c r="U1096" s="205"/>
      <c r="V1096" s="205"/>
      <c r="W1096" s="205"/>
      <c r="X1096" s="205"/>
      <c r="Y1096" s="205"/>
      <c r="Z1096" s="205"/>
      <c r="AA1096" s="205"/>
      <c r="AB1096" s="205"/>
      <c r="AC1096" s="205"/>
      <c r="AD1096" s="205"/>
      <c r="AE1096" s="205"/>
      <c r="AF1096" s="205"/>
      <c r="AG1096" s="205"/>
      <c r="AH1096" s="205"/>
      <c r="AI1096" s="205"/>
      <c r="AJ1096" s="747"/>
    </row>
    <row r="1097" spans="1:36" ht="29.5" customHeight="1">
      <c r="A1097" s="40"/>
      <c r="B1097" s="40">
        <v>5</v>
      </c>
      <c r="C1097" s="124"/>
      <c r="D1097" s="124"/>
      <c r="E1097" s="124"/>
      <c r="F1097" s="716"/>
      <c r="G1097" s="935" t="s">
        <v>698</v>
      </c>
      <c r="H1097" s="935"/>
      <c r="I1097" s="936"/>
      <c r="J1097" s="132"/>
      <c r="K1097" s="210"/>
      <c r="L1097" s="219"/>
      <c r="M1097" s="219"/>
      <c r="N1097" s="219"/>
      <c r="O1097" s="219"/>
      <c r="P1097" s="219"/>
      <c r="Q1097" s="219"/>
      <c r="R1097" s="219"/>
      <c r="S1097" s="219"/>
      <c r="T1097" s="219"/>
      <c r="U1097" s="219"/>
      <c r="V1097" s="219"/>
      <c r="W1097" s="219"/>
      <c r="X1097" s="219"/>
      <c r="Y1097" s="219"/>
      <c r="Z1097" s="219"/>
      <c r="AA1097" s="219"/>
      <c r="AB1097" s="219"/>
      <c r="AC1097" s="219"/>
      <c r="AD1097" s="219"/>
      <c r="AE1097" s="219"/>
      <c r="AF1097" s="219"/>
      <c r="AG1097" s="219"/>
      <c r="AH1097" s="219"/>
      <c r="AI1097" s="219"/>
      <c r="AJ1097" s="777"/>
    </row>
    <row r="1098" spans="1:36" ht="14">
      <c r="A1098" s="40"/>
      <c r="B1098" s="40"/>
      <c r="C1098" s="124">
        <v>1</v>
      </c>
      <c r="D1098" s="124"/>
      <c r="E1098" s="124"/>
      <c r="F1098" s="41"/>
      <c r="G1098" s="41"/>
      <c r="H1098" s="66" t="s">
        <v>35</v>
      </c>
      <c r="I1098" s="125"/>
      <c r="J1098" s="126"/>
      <c r="K1098" s="204"/>
      <c r="L1098" s="205"/>
      <c r="M1098" s="205"/>
      <c r="N1098" s="205"/>
      <c r="O1098" s="205"/>
      <c r="P1098" s="205"/>
      <c r="Q1098" s="205"/>
      <c r="R1098" s="205"/>
      <c r="S1098" s="205"/>
      <c r="T1098" s="205"/>
      <c r="U1098" s="205"/>
      <c r="V1098" s="205"/>
      <c r="W1098" s="205"/>
      <c r="X1098" s="205"/>
      <c r="Y1098" s="205"/>
      <c r="Z1098" s="205"/>
      <c r="AA1098" s="205"/>
      <c r="AB1098" s="205"/>
      <c r="AC1098" s="205"/>
      <c r="AD1098" s="205"/>
      <c r="AE1098" s="205"/>
      <c r="AF1098" s="205"/>
      <c r="AG1098" s="205"/>
      <c r="AH1098" s="205"/>
      <c r="AI1098" s="205"/>
      <c r="AJ1098" s="747"/>
    </row>
    <row r="1099" spans="1:36" ht="14">
      <c r="A1099" s="40"/>
      <c r="B1099" s="40"/>
      <c r="C1099" s="124"/>
      <c r="D1099" s="124">
        <v>3</v>
      </c>
      <c r="E1099" s="124" t="s">
        <v>198</v>
      </c>
      <c r="F1099" s="41"/>
      <c r="G1099" s="41"/>
      <c r="H1099" s="66"/>
      <c r="I1099" s="125" t="s">
        <v>116</v>
      </c>
      <c r="J1099" s="128">
        <v>19294949</v>
      </c>
      <c r="K1099" s="208"/>
      <c r="L1099" s="217"/>
      <c r="M1099" s="217"/>
      <c r="N1099" s="217"/>
      <c r="O1099" s="217"/>
      <c r="P1099" s="217"/>
      <c r="Q1099" s="217"/>
      <c r="R1099" s="217"/>
      <c r="S1099" s="217">
        <f t="shared" ref="S1099" si="1230">SUM(M1099:R1099)</f>
        <v>0</v>
      </c>
      <c r="T1099" s="217">
        <f t="shared" ref="T1099" si="1231">S1099+L1099</f>
        <v>0</v>
      </c>
      <c r="U1099" s="217"/>
      <c r="V1099" s="217"/>
      <c r="W1099" s="217"/>
      <c r="X1099" s="217"/>
      <c r="Y1099" s="217"/>
      <c r="Z1099" s="217">
        <f>SUM(U1099:Y1099)</f>
        <v>0</v>
      </c>
      <c r="AA1099" s="217">
        <f>Z1099+T1099</f>
        <v>0</v>
      </c>
      <c r="AB1099" s="217"/>
      <c r="AC1099" s="217"/>
      <c r="AD1099" s="217"/>
      <c r="AE1099" s="217">
        <v>1506600</v>
      </c>
      <c r="AF1099" s="217"/>
      <c r="AG1099" s="217">
        <f t="shared" ref="AG1099" si="1232">SUM(AB1099:AF1099)</f>
        <v>1506600</v>
      </c>
      <c r="AH1099" s="217">
        <f t="shared" ref="AH1099" si="1233">AG1099+AA1099</f>
        <v>1506600</v>
      </c>
      <c r="AI1099" s="217">
        <v>1506600</v>
      </c>
      <c r="AJ1099" s="764">
        <f>AI1099/AH1099*100</f>
        <v>100</v>
      </c>
    </row>
    <row r="1100" spans="1:36" ht="14">
      <c r="A1100" s="40"/>
      <c r="B1100" s="40"/>
      <c r="C1100" s="124"/>
      <c r="D1100" s="124"/>
      <c r="E1100" s="124"/>
      <c r="F1100" s="41"/>
      <c r="G1100" s="41"/>
      <c r="H1100" s="66"/>
      <c r="I1100" s="125"/>
      <c r="J1100" s="128"/>
      <c r="K1100" s="208"/>
      <c r="L1100" s="217"/>
      <c r="M1100" s="217"/>
      <c r="N1100" s="217"/>
      <c r="O1100" s="217"/>
      <c r="P1100" s="217"/>
      <c r="Q1100" s="217"/>
      <c r="R1100" s="217"/>
      <c r="S1100" s="217"/>
      <c r="T1100" s="217"/>
      <c r="U1100" s="217"/>
      <c r="V1100" s="217"/>
      <c r="W1100" s="217"/>
      <c r="X1100" s="217"/>
      <c r="Y1100" s="217"/>
      <c r="Z1100" s="217"/>
      <c r="AA1100" s="217"/>
      <c r="AB1100" s="217"/>
      <c r="AC1100" s="217"/>
      <c r="AD1100" s="217"/>
      <c r="AE1100" s="217"/>
      <c r="AF1100" s="217"/>
      <c r="AG1100" s="217"/>
      <c r="AH1100" s="217"/>
      <c r="AI1100" s="217"/>
      <c r="AJ1100" s="764"/>
    </row>
    <row r="1101" spans="1:36" ht="16.5" customHeight="1">
      <c r="A1101" s="40"/>
      <c r="B1101" s="40"/>
      <c r="C1101" s="124"/>
      <c r="D1101" s="124"/>
      <c r="E1101" s="124"/>
      <c r="F1101" s="173"/>
      <c r="G1101" s="64"/>
      <c r="H1101" s="65"/>
      <c r="I1101" s="64" t="s">
        <v>38</v>
      </c>
      <c r="J1101" s="333">
        <f>SUM(J1095:J1100)</f>
        <v>36795044</v>
      </c>
      <c r="K1101" s="457"/>
      <c r="L1101" s="458"/>
      <c r="M1101" s="458"/>
      <c r="N1101" s="458"/>
      <c r="O1101" s="458"/>
      <c r="P1101" s="458"/>
      <c r="Q1101" s="458"/>
      <c r="R1101" s="458"/>
      <c r="S1101" s="458"/>
      <c r="T1101" s="458"/>
      <c r="U1101" s="458"/>
      <c r="V1101" s="458"/>
      <c r="W1101" s="458"/>
      <c r="X1101" s="458"/>
      <c r="Y1101" s="458"/>
      <c r="Z1101" s="458"/>
      <c r="AA1101" s="458"/>
      <c r="AB1101" s="458"/>
      <c r="AC1101" s="458"/>
      <c r="AD1101" s="458"/>
      <c r="AE1101" s="458">
        <f>SUM(AE1099:AE1100)</f>
        <v>1506600</v>
      </c>
      <c r="AF1101" s="458"/>
      <c r="AG1101" s="458">
        <f t="shared" ref="AG1101:AI1101" si="1234">SUM(AG1099:AG1100)</f>
        <v>1506600</v>
      </c>
      <c r="AH1101" s="458">
        <f t="shared" si="1234"/>
        <v>1506600</v>
      </c>
      <c r="AI1101" s="458">
        <f t="shared" si="1234"/>
        <v>1506600</v>
      </c>
      <c r="AJ1101" s="770">
        <f>AI1101/AH1101*100</f>
        <v>100</v>
      </c>
    </row>
    <row r="1102" spans="1:36" ht="14">
      <c r="A1102" s="40"/>
      <c r="B1102" s="40"/>
      <c r="C1102" s="124"/>
      <c r="D1102" s="124"/>
      <c r="E1102" s="124"/>
      <c r="F1102" s="41"/>
      <c r="G1102" s="41"/>
      <c r="H1102" s="66"/>
      <c r="I1102" s="125"/>
      <c r="J1102" s="126"/>
      <c r="K1102" s="204"/>
      <c r="L1102" s="205"/>
      <c r="M1102" s="205"/>
      <c r="N1102" s="205"/>
      <c r="O1102" s="205"/>
      <c r="P1102" s="205"/>
      <c r="Q1102" s="205"/>
      <c r="R1102" s="205"/>
      <c r="S1102" s="205"/>
      <c r="T1102" s="205"/>
      <c r="U1102" s="205"/>
      <c r="V1102" s="205"/>
      <c r="W1102" s="205"/>
      <c r="X1102" s="205"/>
      <c r="Y1102" s="205"/>
      <c r="Z1102" s="205"/>
      <c r="AA1102" s="205"/>
      <c r="AB1102" s="205"/>
      <c r="AC1102" s="205"/>
      <c r="AD1102" s="205"/>
      <c r="AE1102" s="205"/>
      <c r="AF1102" s="205"/>
      <c r="AG1102" s="205"/>
      <c r="AH1102" s="205"/>
      <c r="AI1102" s="205"/>
      <c r="AJ1102" s="747"/>
    </row>
    <row r="1103" spans="1:36" ht="13" customHeight="1">
      <c r="A1103" s="40"/>
      <c r="B1103" s="40"/>
      <c r="C1103" s="124"/>
      <c r="D1103" s="124"/>
      <c r="E1103" s="124"/>
      <c r="F1103" s="42"/>
      <c r="G1103" s="42"/>
      <c r="H1103" s="129"/>
      <c r="I1103" s="130" t="s">
        <v>37</v>
      </c>
      <c r="J1103" s="131">
        <f t="shared" ref="J1103:T1103" si="1235">SUM(J1069:J1102)/2</f>
        <v>110427054.5</v>
      </c>
      <c r="K1103" s="209">
        <f t="shared" si="1235"/>
        <v>0</v>
      </c>
      <c r="L1103" s="218">
        <f t="shared" si="1235"/>
        <v>64881963</v>
      </c>
      <c r="M1103" s="218">
        <f t="shared" si="1235"/>
        <v>0</v>
      </c>
      <c r="N1103" s="218">
        <f t="shared" si="1235"/>
        <v>0</v>
      </c>
      <c r="O1103" s="218">
        <f t="shared" si="1235"/>
        <v>0</v>
      </c>
      <c r="P1103" s="218">
        <f t="shared" si="1235"/>
        <v>37600000</v>
      </c>
      <c r="Q1103" s="218">
        <f t="shared" si="1235"/>
        <v>0</v>
      </c>
      <c r="R1103" s="218">
        <f t="shared" si="1235"/>
        <v>0</v>
      </c>
      <c r="S1103" s="218">
        <f t="shared" si="1235"/>
        <v>37600000</v>
      </c>
      <c r="T1103" s="218">
        <f t="shared" si="1235"/>
        <v>102481963</v>
      </c>
      <c r="U1103" s="218"/>
      <c r="V1103" s="218"/>
      <c r="W1103" s="218"/>
      <c r="X1103" s="218"/>
      <c r="Y1103" s="218"/>
      <c r="Z1103" s="218">
        <f>SUM(Z1069:Z1102)/2</f>
        <v>0</v>
      </c>
      <c r="AA1103" s="218">
        <f>SUM(AA1069:AA1102)/2</f>
        <v>102481963</v>
      </c>
      <c r="AB1103" s="218">
        <f t="shared" ref="AB1103:AF1103" si="1236">SUM(AB1069:AB1102)/2</f>
        <v>0</v>
      </c>
      <c r="AC1103" s="218">
        <f t="shared" si="1236"/>
        <v>0</v>
      </c>
      <c r="AD1103" s="218">
        <f t="shared" si="1236"/>
        <v>-7483346</v>
      </c>
      <c r="AE1103" s="218">
        <f t="shared" si="1236"/>
        <v>1244042</v>
      </c>
      <c r="AF1103" s="218">
        <f t="shared" si="1236"/>
        <v>0</v>
      </c>
      <c r="AG1103" s="218">
        <f>SUM(AG1069:AG1102)/2</f>
        <v>-6239304</v>
      </c>
      <c r="AH1103" s="218">
        <f>SUM(AH1069:AH1102)/2</f>
        <v>96242659</v>
      </c>
      <c r="AI1103" s="218">
        <f>SUM(AI1069:AI1102)/2</f>
        <v>49381936</v>
      </c>
      <c r="AJ1103" s="776">
        <f>AI1103/AH1103*100</f>
        <v>51.30982093917418</v>
      </c>
    </row>
    <row r="1104" spans="1:36" ht="13" customHeight="1">
      <c r="A1104" s="40"/>
      <c r="B1104" s="40"/>
      <c r="C1104" s="124"/>
      <c r="D1104" s="124"/>
      <c r="E1104" s="124"/>
      <c r="F1104" s="41"/>
      <c r="G1104" s="41"/>
      <c r="H1104" s="66"/>
      <c r="I1104" s="41"/>
      <c r="J1104" s="132"/>
      <c r="K1104" s="210"/>
      <c r="L1104" s="219"/>
      <c r="M1104" s="219"/>
      <c r="N1104" s="219"/>
      <c r="O1104" s="219"/>
      <c r="P1104" s="219"/>
      <c r="Q1104" s="219"/>
      <c r="R1104" s="219"/>
      <c r="S1104" s="219"/>
      <c r="T1104" s="219"/>
      <c r="U1104" s="219"/>
      <c r="V1104" s="219"/>
      <c r="W1104" s="219"/>
      <c r="X1104" s="219"/>
      <c r="Y1104" s="219"/>
      <c r="Z1104" s="219"/>
      <c r="AA1104" s="219"/>
      <c r="AB1104" s="219"/>
      <c r="AC1104" s="219"/>
      <c r="AD1104" s="219"/>
      <c r="AE1104" s="219"/>
      <c r="AF1104" s="219"/>
      <c r="AG1104" s="219"/>
      <c r="AH1104" s="219"/>
      <c r="AI1104" s="219"/>
      <c r="AJ1104" s="777"/>
    </row>
    <row r="1105" spans="1:36" ht="13" customHeight="1">
      <c r="A1105" s="40">
        <v>56</v>
      </c>
      <c r="B1105" s="40"/>
      <c r="C1105" s="124"/>
      <c r="D1105" s="124"/>
      <c r="E1105" s="124"/>
      <c r="F1105" s="41" t="s">
        <v>472</v>
      </c>
      <c r="G1105" s="41"/>
      <c r="H1105" s="66"/>
      <c r="I1105" s="41"/>
      <c r="J1105" s="132"/>
      <c r="K1105" s="210"/>
      <c r="L1105" s="219"/>
      <c r="M1105" s="219"/>
      <c r="N1105" s="219"/>
      <c r="O1105" s="219"/>
      <c r="P1105" s="219"/>
      <c r="Q1105" s="219"/>
      <c r="R1105" s="219"/>
      <c r="S1105" s="219"/>
      <c r="T1105" s="219"/>
      <c r="U1105" s="219"/>
      <c r="V1105" s="219"/>
      <c r="W1105" s="219"/>
      <c r="X1105" s="219"/>
      <c r="Y1105" s="219"/>
      <c r="Z1105" s="219"/>
      <c r="AA1105" s="219"/>
      <c r="AB1105" s="219"/>
      <c r="AC1105" s="219"/>
      <c r="AD1105" s="219"/>
      <c r="AE1105" s="219"/>
      <c r="AF1105" s="219"/>
      <c r="AG1105" s="219"/>
      <c r="AH1105" s="219"/>
      <c r="AI1105" s="219"/>
      <c r="AJ1105" s="777"/>
    </row>
    <row r="1106" spans="1:36" ht="13" customHeight="1">
      <c r="A1106" s="40"/>
      <c r="B1106" s="40"/>
      <c r="C1106" s="124">
        <v>1</v>
      </c>
      <c r="D1106" s="124"/>
      <c r="E1106" s="124"/>
      <c r="F1106" s="41"/>
      <c r="G1106" s="41"/>
      <c r="H1106" s="66" t="s">
        <v>35</v>
      </c>
      <c r="I1106" s="125"/>
      <c r="J1106" s="126"/>
      <c r="K1106" s="204"/>
      <c r="L1106" s="205"/>
      <c r="M1106" s="205"/>
      <c r="N1106" s="205"/>
      <c r="O1106" s="205"/>
      <c r="P1106" s="205"/>
      <c r="Q1106" s="205"/>
      <c r="R1106" s="205"/>
      <c r="S1106" s="205"/>
      <c r="T1106" s="205"/>
      <c r="U1106" s="205"/>
      <c r="V1106" s="205"/>
      <c r="W1106" s="205"/>
      <c r="X1106" s="205"/>
      <c r="Y1106" s="205"/>
      <c r="Z1106" s="205"/>
      <c r="AA1106" s="205"/>
      <c r="AB1106" s="205"/>
      <c r="AC1106" s="205"/>
      <c r="AD1106" s="205"/>
      <c r="AE1106" s="205"/>
      <c r="AF1106" s="205"/>
      <c r="AG1106" s="205"/>
      <c r="AH1106" s="205"/>
      <c r="AI1106" s="205"/>
      <c r="AJ1106" s="747"/>
    </row>
    <row r="1107" spans="1:36" ht="13" customHeight="1">
      <c r="A1107" s="40"/>
      <c r="B1107" s="40"/>
      <c r="C1107" s="124"/>
      <c r="D1107" s="124">
        <v>5</v>
      </c>
      <c r="E1107" s="124" t="s">
        <v>198</v>
      </c>
      <c r="F1107" s="41"/>
      <c r="G1107" s="41"/>
      <c r="H1107" s="66"/>
      <c r="I1107" s="125" t="s">
        <v>185</v>
      </c>
      <c r="J1107" s="128">
        <v>110000000</v>
      </c>
      <c r="K1107" s="204"/>
      <c r="L1107" s="217">
        <f>SUM(J1107:K1107)</f>
        <v>110000000</v>
      </c>
      <c r="M1107" s="217"/>
      <c r="N1107" s="217"/>
      <c r="O1107" s="217"/>
      <c r="P1107" s="217"/>
      <c r="Q1107" s="217"/>
      <c r="R1107" s="217"/>
      <c r="S1107" s="217">
        <f t="shared" ref="S1107" si="1237">SUM(M1107:R1107)</f>
        <v>0</v>
      </c>
      <c r="T1107" s="217">
        <f t="shared" ref="T1107" si="1238">S1107+L1107</f>
        <v>110000000</v>
      </c>
      <c r="U1107" s="217"/>
      <c r="V1107" s="217"/>
      <c r="W1107" s="217"/>
      <c r="X1107" s="217">
        <v>1000000</v>
      </c>
      <c r="Y1107" s="217"/>
      <c r="Z1107" s="217">
        <f>SUM(U1107:Y1107)</f>
        <v>1000000</v>
      </c>
      <c r="AA1107" s="217">
        <f>Z1107+T1107</f>
        <v>111000000</v>
      </c>
      <c r="AB1107" s="217"/>
      <c r="AC1107" s="217"/>
      <c r="AD1107" s="217"/>
      <c r="AE1107" s="217"/>
      <c r="AF1107" s="217"/>
      <c r="AG1107" s="217">
        <f t="shared" ref="AG1107" si="1239">SUM(AB1107:AF1107)</f>
        <v>0</v>
      </c>
      <c r="AH1107" s="217">
        <f t="shared" ref="AH1107" si="1240">AG1107+AA1107</f>
        <v>111000000</v>
      </c>
      <c r="AI1107" s="217">
        <v>111000000</v>
      </c>
      <c r="AJ1107" s="764">
        <f>AI1107/AH1107*100</f>
        <v>100</v>
      </c>
    </row>
    <row r="1108" spans="1:36" ht="13" customHeight="1">
      <c r="A1108" s="40"/>
      <c r="B1108" s="40"/>
      <c r="C1108" s="124"/>
      <c r="D1108" s="124"/>
      <c r="E1108" s="124"/>
      <c r="F1108" s="41"/>
      <c r="G1108" s="41"/>
      <c r="H1108" s="66"/>
      <c r="I1108" s="125"/>
      <c r="J1108" s="126"/>
      <c r="K1108" s="204"/>
      <c r="L1108" s="205"/>
      <c r="M1108" s="205"/>
      <c r="N1108" s="205"/>
      <c r="O1108" s="205"/>
      <c r="P1108" s="205"/>
      <c r="Q1108" s="205"/>
      <c r="R1108" s="205"/>
      <c r="S1108" s="205"/>
      <c r="T1108" s="205"/>
      <c r="U1108" s="205"/>
      <c r="V1108" s="205"/>
      <c r="W1108" s="205"/>
      <c r="X1108" s="205"/>
      <c r="Y1108" s="205"/>
      <c r="Z1108" s="205"/>
      <c r="AA1108" s="205"/>
      <c r="AB1108" s="205"/>
      <c r="AC1108" s="205"/>
      <c r="AD1108" s="205"/>
      <c r="AE1108" s="205"/>
      <c r="AF1108" s="205"/>
      <c r="AG1108" s="205"/>
      <c r="AH1108" s="205"/>
      <c r="AI1108" s="205"/>
      <c r="AJ1108" s="747"/>
    </row>
    <row r="1109" spans="1:36" ht="13" customHeight="1">
      <c r="A1109" s="40"/>
      <c r="B1109" s="40"/>
      <c r="C1109" s="124"/>
      <c r="D1109" s="124"/>
      <c r="E1109" s="124"/>
      <c r="F1109" s="42"/>
      <c r="G1109" s="42"/>
      <c r="H1109" s="129"/>
      <c r="I1109" s="130" t="s">
        <v>37</v>
      </c>
      <c r="J1109" s="131">
        <f>SUM(J1107:J1108)</f>
        <v>110000000</v>
      </c>
      <c r="K1109" s="209"/>
      <c r="L1109" s="218">
        <f>SUM(L1107:L1108)</f>
        <v>110000000</v>
      </c>
      <c r="M1109" s="218">
        <f t="shared" ref="M1109:T1109" si="1241">SUM(M1107:M1108)</f>
        <v>0</v>
      </c>
      <c r="N1109" s="218">
        <f t="shared" si="1241"/>
        <v>0</v>
      </c>
      <c r="O1109" s="218">
        <f t="shared" si="1241"/>
        <v>0</v>
      </c>
      <c r="P1109" s="218">
        <f t="shared" si="1241"/>
        <v>0</v>
      </c>
      <c r="Q1109" s="218">
        <f t="shared" si="1241"/>
        <v>0</v>
      </c>
      <c r="R1109" s="218">
        <f t="shared" si="1241"/>
        <v>0</v>
      </c>
      <c r="S1109" s="218">
        <f t="shared" si="1241"/>
        <v>0</v>
      </c>
      <c r="T1109" s="218">
        <f t="shared" si="1241"/>
        <v>110000000</v>
      </c>
      <c r="U1109" s="218"/>
      <c r="V1109" s="218"/>
      <c r="W1109" s="218"/>
      <c r="X1109" s="218">
        <f t="shared" ref="X1109:AA1109" si="1242">SUM(X1107:X1108)</f>
        <v>1000000</v>
      </c>
      <c r="Y1109" s="218"/>
      <c r="Z1109" s="218">
        <f t="shared" si="1242"/>
        <v>1000000</v>
      </c>
      <c r="AA1109" s="218">
        <f t="shared" si="1242"/>
        <v>111000000</v>
      </c>
      <c r="AB1109" s="218"/>
      <c r="AC1109" s="218"/>
      <c r="AD1109" s="218"/>
      <c r="AE1109" s="218">
        <f t="shared" ref="AE1109" si="1243">SUM(AE1107:AE1108)</f>
        <v>0</v>
      </c>
      <c r="AF1109" s="218"/>
      <c r="AG1109" s="218">
        <f t="shared" ref="AG1109:AI1109" si="1244">SUM(AG1107:AG1108)</f>
        <v>0</v>
      </c>
      <c r="AH1109" s="218">
        <f t="shared" si="1244"/>
        <v>111000000</v>
      </c>
      <c r="AI1109" s="218">
        <f t="shared" si="1244"/>
        <v>111000000</v>
      </c>
      <c r="AJ1109" s="776">
        <f>AI1109/AH1109*100</f>
        <v>100</v>
      </c>
    </row>
    <row r="1110" spans="1:36" ht="13" customHeight="1">
      <c r="A1110" s="40"/>
      <c r="B1110" s="40"/>
      <c r="C1110" s="124"/>
      <c r="D1110" s="124"/>
      <c r="E1110" s="124"/>
      <c r="F1110" s="41"/>
      <c r="G1110" s="41"/>
      <c r="H1110" s="66"/>
      <c r="I1110" s="41"/>
      <c r="J1110" s="132"/>
      <c r="K1110" s="210"/>
      <c r="L1110" s="219"/>
      <c r="M1110" s="219"/>
      <c r="N1110" s="219"/>
      <c r="O1110" s="219"/>
      <c r="P1110" s="219"/>
      <c r="Q1110" s="219"/>
      <c r="R1110" s="219"/>
      <c r="S1110" s="219"/>
      <c r="T1110" s="219"/>
      <c r="U1110" s="219"/>
      <c r="V1110" s="219"/>
      <c r="W1110" s="219"/>
      <c r="X1110" s="219"/>
      <c r="Y1110" s="219"/>
      <c r="Z1110" s="219"/>
      <c r="AA1110" s="219"/>
      <c r="AB1110" s="219"/>
      <c r="AC1110" s="219"/>
      <c r="AD1110" s="219"/>
      <c r="AE1110" s="219"/>
      <c r="AF1110" s="219"/>
      <c r="AG1110" s="219"/>
      <c r="AH1110" s="219"/>
      <c r="AI1110" s="219"/>
      <c r="AJ1110" s="777"/>
    </row>
    <row r="1111" spans="1:36" ht="13" customHeight="1">
      <c r="A1111" s="40">
        <v>57</v>
      </c>
      <c r="B1111" s="40"/>
      <c r="C1111" s="124"/>
      <c r="D1111" s="124"/>
      <c r="E1111" s="124"/>
      <c r="F1111" s="41" t="s">
        <v>473</v>
      </c>
      <c r="G1111" s="41"/>
      <c r="H1111" s="66"/>
      <c r="I1111" s="41"/>
      <c r="J1111" s="132"/>
      <c r="K1111" s="210"/>
      <c r="L1111" s="219"/>
      <c r="M1111" s="219"/>
      <c r="N1111" s="219"/>
      <c r="O1111" s="219"/>
      <c r="P1111" s="219"/>
      <c r="Q1111" s="219"/>
      <c r="R1111" s="219"/>
      <c r="S1111" s="219"/>
      <c r="T1111" s="219"/>
      <c r="U1111" s="219"/>
      <c r="V1111" s="219"/>
      <c r="W1111" s="219"/>
      <c r="X1111" s="219"/>
      <c r="Y1111" s="219"/>
      <c r="Z1111" s="219"/>
      <c r="AA1111" s="219"/>
      <c r="AB1111" s="219"/>
      <c r="AC1111" s="219"/>
      <c r="AD1111" s="219"/>
      <c r="AE1111" s="219"/>
      <c r="AF1111" s="219"/>
      <c r="AG1111" s="219"/>
      <c r="AH1111" s="219"/>
      <c r="AI1111" s="219"/>
      <c r="AJ1111" s="777"/>
    </row>
    <row r="1112" spans="1:36" ht="13" customHeight="1">
      <c r="A1112" s="40"/>
      <c r="B1112" s="40"/>
      <c r="C1112" s="124">
        <v>1</v>
      </c>
      <c r="D1112" s="124"/>
      <c r="E1112" s="124"/>
      <c r="F1112" s="41"/>
      <c r="G1112" s="41"/>
      <c r="H1112" s="66" t="s">
        <v>35</v>
      </c>
      <c r="I1112" s="125"/>
      <c r="J1112" s="126"/>
      <c r="K1112" s="204"/>
      <c r="L1112" s="205"/>
      <c r="M1112" s="205"/>
      <c r="N1112" s="205"/>
      <c r="O1112" s="205"/>
      <c r="P1112" s="205"/>
      <c r="Q1112" s="205"/>
      <c r="R1112" s="205"/>
      <c r="S1112" s="205"/>
      <c r="T1112" s="205"/>
      <c r="U1112" s="205"/>
      <c r="V1112" s="205"/>
      <c r="W1112" s="205"/>
      <c r="X1112" s="205"/>
      <c r="Y1112" s="205"/>
      <c r="Z1112" s="205"/>
      <c r="AA1112" s="205"/>
      <c r="AB1112" s="205"/>
      <c r="AC1112" s="205"/>
      <c r="AD1112" s="205"/>
      <c r="AE1112" s="205"/>
      <c r="AF1112" s="205"/>
      <c r="AG1112" s="205"/>
      <c r="AH1112" s="205"/>
      <c r="AI1112" s="205"/>
      <c r="AJ1112" s="747"/>
    </row>
    <row r="1113" spans="1:36" ht="13" customHeight="1">
      <c r="A1113" s="40"/>
      <c r="B1113" s="40"/>
      <c r="C1113" s="124"/>
      <c r="D1113" s="465">
        <v>3</v>
      </c>
      <c r="E1113" s="465" t="s">
        <v>198</v>
      </c>
      <c r="F1113" s="125"/>
      <c r="G1113" s="481"/>
      <c r="H1113" s="125"/>
      <c r="I1113" s="66" t="s">
        <v>116</v>
      </c>
      <c r="J1113" s="128">
        <v>12000000</v>
      </c>
      <c r="K1113" s="204"/>
      <c r="L1113" s="217">
        <f>SUM(J1113:K1113)</f>
        <v>12000000</v>
      </c>
      <c r="M1113" s="217"/>
      <c r="N1113" s="217"/>
      <c r="O1113" s="217"/>
      <c r="P1113" s="217"/>
      <c r="Q1113" s="217"/>
      <c r="R1113" s="217"/>
      <c r="S1113" s="217">
        <f t="shared" ref="S1113" si="1245">SUM(M1113:R1113)</f>
        <v>0</v>
      </c>
      <c r="T1113" s="217">
        <f t="shared" ref="T1113" si="1246">S1113+L1113</f>
        <v>12000000</v>
      </c>
      <c r="U1113" s="217"/>
      <c r="V1113" s="217"/>
      <c r="W1113" s="217"/>
      <c r="X1113" s="217"/>
      <c r="Y1113" s="217"/>
      <c r="Z1113" s="217">
        <f>SUM(U1113:Y1113)</f>
        <v>0</v>
      </c>
      <c r="AA1113" s="217">
        <f>Z1113+T1113</f>
        <v>12000000</v>
      </c>
      <c r="AB1113" s="217"/>
      <c r="AC1113" s="217"/>
      <c r="AD1113" s="217"/>
      <c r="AE1113" s="217">
        <v>-1380000</v>
      </c>
      <c r="AF1113" s="217"/>
      <c r="AG1113" s="217">
        <f t="shared" ref="AG1113" si="1247">SUM(AB1113:AF1113)</f>
        <v>-1380000</v>
      </c>
      <c r="AH1113" s="217">
        <f t="shared" ref="AH1113" si="1248">AG1113+AA1113</f>
        <v>10620000</v>
      </c>
      <c r="AI1113" s="217">
        <v>9969500</v>
      </c>
      <c r="AJ1113" s="764">
        <f>AI1113/AH1113*100</f>
        <v>93.874764595103571</v>
      </c>
    </row>
    <row r="1114" spans="1:36" ht="14">
      <c r="A1114" s="40"/>
      <c r="B1114" s="40"/>
      <c r="C1114" s="124"/>
      <c r="D1114" s="124"/>
      <c r="E1114" s="124"/>
      <c r="F1114" s="41"/>
      <c r="G1114" s="41"/>
      <c r="H1114" s="66"/>
      <c r="I1114" s="125"/>
      <c r="J1114" s="126"/>
      <c r="K1114" s="204"/>
      <c r="L1114" s="205"/>
      <c r="M1114" s="205"/>
      <c r="N1114" s="205"/>
      <c r="O1114" s="205"/>
      <c r="P1114" s="205"/>
      <c r="Q1114" s="205"/>
      <c r="R1114" s="205"/>
      <c r="S1114" s="205"/>
      <c r="T1114" s="205"/>
      <c r="U1114" s="205"/>
      <c r="V1114" s="205"/>
      <c r="W1114" s="205"/>
      <c r="X1114" s="205"/>
      <c r="Y1114" s="205"/>
      <c r="Z1114" s="205"/>
      <c r="AA1114" s="205"/>
      <c r="AB1114" s="205"/>
      <c r="AC1114" s="205"/>
      <c r="AD1114" s="205"/>
      <c r="AE1114" s="205"/>
      <c r="AF1114" s="205"/>
      <c r="AG1114" s="205"/>
      <c r="AH1114" s="205"/>
      <c r="AI1114" s="205"/>
      <c r="AJ1114" s="747"/>
    </row>
    <row r="1115" spans="1:36" ht="14">
      <c r="A1115" s="40"/>
      <c r="B1115" s="40"/>
      <c r="C1115" s="124"/>
      <c r="D1115" s="124"/>
      <c r="E1115" s="124"/>
      <c r="F1115" s="42"/>
      <c r="G1115" s="42"/>
      <c r="H1115" s="129"/>
      <c r="I1115" s="130" t="s">
        <v>37</v>
      </c>
      <c r="J1115" s="131">
        <f>SUM(J1113:J1114)</f>
        <v>12000000</v>
      </c>
      <c r="K1115" s="209"/>
      <c r="L1115" s="218">
        <f>SUM(L1113:L1114)</f>
        <v>12000000</v>
      </c>
      <c r="M1115" s="218">
        <f t="shared" ref="M1115:T1115" si="1249">SUM(M1113:M1114)</f>
        <v>0</v>
      </c>
      <c r="N1115" s="218">
        <f t="shared" si="1249"/>
        <v>0</v>
      </c>
      <c r="O1115" s="218">
        <f t="shared" si="1249"/>
        <v>0</v>
      </c>
      <c r="P1115" s="218">
        <f t="shared" si="1249"/>
        <v>0</v>
      </c>
      <c r="Q1115" s="218">
        <f t="shared" si="1249"/>
        <v>0</v>
      </c>
      <c r="R1115" s="218">
        <f t="shared" si="1249"/>
        <v>0</v>
      </c>
      <c r="S1115" s="218">
        <f t="shared" si="1249"/>
        <v>0</v>
      </c>
      <c r="T1115" s="218">
        <f t="shared" si="1249"/>
        <v>12000000</v>
      </c>
      <c r="U1115" s="218"/>
      <c r="V1115" s="218"/>
      <c r="W1115" s="218"/>
      <c r="X1115" s="218"/>
      <c r="Y1115" s="218"/>
      <c r="Z1115" s="218">
        <f t="shared" ref="Z1115:AA1115" si="1250">SUM(Z1113:Z1114)</f>
        <v>0</v>
      </c>
      <c r="AA1115" s="218">
        <f t="shared" si="1250"/>
        <v>12000000</v>
      </c>
      <c r="AB1115" s="218"/>
      <c r="AC1115" s="218"/>
      <c r="AD1115" s="218"/>
      <c r="AE1115" s="218">
        <f t="shared" ref="AE1115:AI1115" si="1251">SUM(AE1113:AE1114)</f>
        <v>-1380000</v>
      </c>
      <c r="AF1115" s="218"/>
      <c r="AG1115" s="218">
        <f t="shared" si="1251"/>
        <v>-1380000</v>
      </c>
      <c r="AH1115" s="218">
        <f t="shared" si="1251"/>
        <v>10620000</v>
      </c>
      <c r="AI1115" s="218">
        <f t="shared" si="1251"/>
        <v>9969500</v>
      </c>
      <c r="AJ1115" s="776">
        <f>AI1115/AH1115*100</f>
        <v>93.874764595103571</v>
      </c>
    </row>
    <row r="1116" spans="1:36" ht="14">
      <c r="A1116" s="40"/>
      <c r="B1116" s="40"/>
      <c r="C1116" s="124"/>
      <c r="D1116" s="124"/>
      <c r="E1116" s="124"/>
      <c r="F1116" s="41"/>
      <c r="G1116" s="41"/>
      <c r="H1116" s="66"/>
      <c r="I1116" s="41"/>
      <c r="J1116" s="132"/>
      <c r="K1116" s="210"/>
      <c r="L1116" s="219"/>
      <c r="M1116" s="219"/>
      <c r="N1116" s="219"/>
      <c r="O1116" s="219"/>
      <c r="P1116" s="219"/>
      <c r="Q1116" s="219"/>
      <c r="R1116" s="219"/>
      <c r="S1116" s="219"/>
      <c r="T1116" s="219"/>
      <c r="U1116" s="219"/>
      <c r="V1116" s="219"/>
      <c r="W1116" s="219"/>
      <c r="X1116" s="219"/>
      <c r="Y1116" s="219"/>
      <c r="Z1116" s="219"/>
      <c r="AA1116" s="219"/>
      <c r="AB1116" s="219"/>
      <c r="AC1116" s="219"/>
      <c r="AD1116" s="219"/>
      <c r="AE1116" s="219"/>
      <c r="AF1116" s="219"/>
      <c r="AG1116" s="219"/>
      <c r="AH1116" s="219"/>
      <c r="AI1116" s="219"/>
      <c r="AJ1116" s="777"/>
    </row>
    <row r="1117" spans="1:36" ht="14">
      <c r="A1117" s="40">
        <v>58</v>
      </c>
      <c r="B1117" s="40"/>
      <c r="C1117" s="124"/>
      <c r="D1117" s="124"/>
      <c r="E1117" s="124"/>
      <c r="F1117" s="41" t="s">
        <v>474</v>
      </c>
      <c r="G1117" s="41"/>
      <c r="H1117" s="66"/>
      <c r="I1117" s="41"/>
      <c r="J1117" s="132"/>
      <c r="K1117" s="210"/>
      <c r="L1117" s="219"/>
      <c r="M1117" s="219"/>
      <c r="N1117" s="219"/>
      <c r="O1117" s="219"/>
      <c r="P1117" s="219"/>
      <c r="Q1117" s="219"/>
      <c r="R1117" s="219"/>
      <c r="S1117" s="219"/>
      <c r="T1117" s="219"/>
      <c r="U1117" s="219"/>
      <c r="V1117" s="219"/>
      <c r="W1117" s="219"/>
      <c r="X1117" s="219"/>
      <c r="Y1117" s="219"/>
      <c r="Z1117" s="219"/>
      <c r="AA1117" s="219"/>
      <c r="AB1117" s="219"/>
      <c r="AC1117" s="219"/>
      <c r="AD1117" s="219"/>
      <c r="AE1117" s="219"/>
      <c r="AF1117" s="219"/>
      <c r="AG1117" s="219"/>
      <c r="AH1117" s="219"/>
      <c r="AI1117" s="219"/>
      <c r="AJ1117" s="777"/>
    </row>
    <row r="1118" spans="1:36" ht="14">
      <c r="A1118" s="40"/>
      <c r="B1118" s="40"/>
      <c r="C1118" s="124">
        <v>1</v>
      </c>
      <c r="D1118" s="124"/>
      <c r="E1118" s="124"/>
      <c r="F1118" s="41"/>
      <c r="G1118" s="41"/>
      <c r="H1118" s="66" t="s">
        <v>35</v>
      </c>
      <c r="I1118" s="125"/>
      <c r="J1118" s="126"/>
      <c r="K1118" s="204"/>
      <c r="L1118" s="205"/>
      <c r="M1118" s="205"/>
      <c r="N1118" s="205"/>
      <c r="O1118" s="205"/>
      <c r="P1118" s="205"/>
      <c r="Q1118" s="205"/>
      <c r="R1118" s="205"/>
      <c r="S1118" s="205"/>
      <c r="T1118" s="205"/>
      <c r="U1118" s="205"/>
      <c r="V1118" s="205"/>
      <c r="W1118" s="205"/>
      <c r="X1118" s="205"/>
      <c r="Y1118" s="205"/>
      <c r="Z1118" s="205"/>
      <c r="AA1118" s="205"/>
      <c r="AB1118" s="205"/>
      <c r="AC1118" s="205"/>
      <c r="AD1118" s="205"/>
      <c r="AE1118" s="205"/>
      <c r="AF1118" s="205"/>
      <c r="AG1118" s="205"/>
      <c r="AH1118" s="205"/>
      <c r="AI1118" s="205"/>
      <c r="AJ1118" s="747"/>
    </row>
    <row r="1119" spans="1:36" ht="14">
      <c r="A1119" s="40"/>
      <c r="B1119" s="40"/>
      <c r="C1119" s="124"/>
      <c r="D1119" s="124">
        <v>5</v>
      </c>
      <c r="E1119" s="124" t="s">
        <v>198</v>
      </c>
      <c r="F1119" s="41"/>
      <c r="G1119" s="41"/>
      <c r="H1119" s="66"/>
      <c r="I1119" s="125" t="s">
        <v>185</v>
      </c>
      <c r="J1119" s="128">
        <v>1000000</v>
      </c>
      <c r="K1119" s="204"/>
      <c r="L1119" s="217">
        <f>SUM(J1119:K1119)</f>
        <v>1000000</v>
      </c>
      <c r="M1119" s="217"/>
      <c r="N1119" s="217"/>
      <c r="O1119" s="217"/>
      <c r="P1119" s="217"/>
      <c r="Q1119" s="217"/>
      <c r="R1119" s="217"/>
      <c r="S1119" s="217">
        <f t="shared" ref="S1119" si="1252">SUM(M1119:R1119)</f>
        <v>0</v>
      </c>
      <c r="T1119" s="217">
        <f t="shared" ref="T1119" si="1253">S1119+L1119</f>
        <v>1000000</v>
      </c>
      <c r="U1119" s="217"/>
      <c r="V1119" s="217"/>
      <c r="W1119" s="217"/>
      <c r="X1119" s="217">
        <v>348285</v>
      </c>
      <c r="Y1119" s="217"/>
      <c r="Z1119" s="217">
        <f>SUM(U1119:Y1119)</f>
        <v>348285</v>
      </c>
      <c r="AA1119" s="217">
        <f>Z1119+T1119</f>
        <v>1348285</v>
      </c>
      <c r="AB1119" s="217"/>
      <c r="AC1119" s="217"/>
      <c r="AD1119" s="217"/>
      <c r="AE1119" s="217">
        <v>-184400</v>
      </c>
      <c r="AF1119" s="217"/>
      <c r="AG1119" s="217">
        <f t="shared" ref="AG1119" si="1254">SUM(AB1119:AF1119)</f>
        <v>-184400</v>
      </c>
      <c r="AH1119" s="217">
        <f t="shared" ref="AH1119" si="1255">AG1119+AA1119</f>
        <v>1163885</v>
      </c>
      <c r="AI1119" s="217">
        <v>1163885</v>
      </c>
      <c r="AJ1119" s="764">
        <f>AI1119/AH1119*100</f>
        <v>100</v>
      </c>
    </row>
    <row r="1120" spans="1:36" ht="14">
      <c r="A1120" s="40"/>
      <c r="B1120" s="40"/>
      <c r="C1120" s="124"/>
      <c r="D1120" s="124"/>
      <c r="E1120" s="124"/>
      <c r="F1120" s="41"/>
      <c r="G1120" s="41"/>
      <c r="H1120" s="66"/>
      <c r="I1120" s="125"/>
      <c r="J1120" s="126"/>
      <c r="K1120" s="204"/>
      <c r="L1120" s="205"/>
      <c r="M1120" s="205"/>
      <c r="N1120" s="205"/>
      <c r="O1120" s="205"/>
      <c r="P1120" s="205"/>
      <c r="Q1120" s="205"/>
      <c r="R1120" s="205"/>
      <c r="S1120" s="205"/>
      <c r="T1120" s="205"/>
      <c r="U1120" s="205"/>
      <c r="V1120" s="205"/>
      <c r="W1120" s="205"/>
      <c r="X1120" s="205"/>
      <c r="Y1120" s="205"/>
      <c r="Z1120" s="205"/>
      <c r="AA1120" s="205"/>
      <c r="AB1120" s="205"/>
      <c r="AC1120" s="205"/>
      <c r="AD1120" s="205"/>
      <c r="AE1120" s="205"/>
      <c r="AF1120" s="205"/>
      <c r="AG1120" s="205"/>
      <c r="AH1120" s="205"/>
      <c r="AI1120" s="205"/>
      <c r="AJ1120" s="747"/>
    </row>
    <row r="1121" spans="1:36" ht="14">
      <c r="A1121" s="40"/>
      <c r="B1121" s="40"/>
      <c r="C1121" s="124"/>
      <c r="D1121" s="124"/>
      <c r="E1121" s="124"/>
      <c r="F1121" s="42"/>
      <c r="G1121" s="42"/>
      <c r="H1121" s="129"/>
      <c r="I1121" s="130" t="s">
        <v>37</v>
      </c>
      <c r="J1121" s="131">
        <f>SUM(J1119:J1120)</f>
        <v>1000000</v>
      </c>
      <c r="K1121" s="209"/>
      <c r="L1121" s="218">
        <f>SUM(L1119:L1120)</f>
        <v>1000000</v>
      </c>
      <c r="M1121" s="218">
        <f t="shared" ref="M1121:T1121" si="1256">SUM(M1119:M1120)</f>
        <v>0</v>
      </c>
      <c r="N1121" s="218">
        <f t="shared" si="1256"/>
        <v>0</v>
      </c>
      <c r="O1121" s="218">
        <f t="shared" si="1256"/>
        <v>0</v>
      </c>
      <c r="P1121" s="218">
        <f t="shared" si="1256"/>
        <v>0</v>
      </c>
      <c r="Q1121" s="218">
        <f t="shared" si="1256"/>
        <v>0</v>
      </c>
      <c r="R1121" s="218">
        <f t="shared" si="1256"/>
        <v>0</v>
      </c>
      <c r="S1121" s="218">
        <f t="shared" si="1256"/>
        <v>0</v>
      </c>
      <c r="T1121" s="218">
        <f t="shared" si="1256"/>
        <v>1000000</v>
      </c>
      <c r="U1121" s="218"/>
      <c r="V1121" s="218"/>
      <c r="W1121" s="218"/>
      <c r="X1121" s="218">
        <f t="shared" ref="X1121:AA1121" si="1257">SUM(X1119:X1120)</f>
        <v>348285</v>
      </c>
      <c r="Y1121" s="218"/>
      <c r="Z1121" s="218">
        <f t="shared" si="1257"/>
        <v>348285</v>
      </c>
      <c r="AA1121" s="218">
        <f t="shared" si="1257"/>
        <v>1348285</v>
      </c>
      <c r="AB1121" s="218"/>
      <c r="AC1121" s="218"/>
      <c r="AD1121" s="218"/>
      <c r="AE1121" s="218">
        <f t="shared" ref="AE1121" si="1258">SUM(AE1119:AE1120)</f>
        <v>-184400</v>
      </c>
      <c r="AF1121" s="218"/>
      <c r="AG1121" s="218">
        <f t="shared" ref="AG1121:AI1121" si="1259">SUM(AG1119:AG1120)</f>
        <v>-184400</v>
      </c>
      <c r="AH1121" s="218">
        <f t="shared" si="1259"/>
        <v>1163885</v>
      </c>
      <c r="AI1121" s="218">
        <f t="shared" si="1259"/>
        <v>1163885</v>
      </c>
      <c r="AJ1121" s="776">
        <f>AI1121/AH1121*100</f>
        <v>100</v>
      </c>
    </row>
    <row r="1122" spans="1:36" ht="14">
      <c r="A1122" s="40"/>
      <c r="B1122" s="40"/>
      <c r="C1122" s="124"/>
      <c r="D1122" s="124"/>
      <c r="E1122" s="124"/>
      <c r="F1122" s="41"/>
      <c r="G1122" s="41"/>
      <c r="H1122" s="66"/>
      <c r="I1122" s="41"/>
      <c r="J1122" s="132"/>
      <c r="K1122" s="210"/>
      <c r="L1122" s="219"/>
      <c r="M1122" s="219"/>
      <c r="N1122" s="219"/>
      <c r="O1122" s="219"/>
      <c r="P1122" s="219"/>
      <c r="Q1122" s="219"/>
      <c r="R1122" s="219"/>
      <c r="S1122" s="219"/>
      <c r="T1122" s="219"/>
      <c r="U1122" s="219"/>
      <c r="V1122" s="219"/>
      <c r="W1122" s="219"/>
      <c r="X1122" s="219"/>
      <c r="Y1122" s="219"/>
      <c r="Z1122" s="219"/>
      <c r="AA1122" s="219"/>
      <c r="AB1122" s="219"/>
      <c r="AC1122" s="219"/>
      <c r="AD1122" s="219"/>
      <c r="AE1122" s="219"/>
      <c r="AF1122" s="219"/>
      <c r="AG1122" s="219"/>
      <c r="AH1122" s="219"/>
      <c r="AI1122" s="219"/>
      <c r="AJ1122" s="777"/>
    </row>
    <row r="1123" spans="1:36" ht="14">
      <c r="A1123" s="40">
        <v>59</v>
      </c>
      <c r="B1123" s="40"/>
      <c r="C1123" s="124"/>
      <c r="D1123" s="124"/>
      <c r="E1123" s="124"/>
      <c r="F1123" s="41" t="s">
        <v>475</v>
      </c>
      <c r="G1123" s="41"/>
      <c r="H1123" s="66"/>
      <c r="I1123" s="41"/>
      <c r="J1123" s="132"/>
      <c r="K1123" s="210"/>
      <c r="L1123" s="219"/>
      <c r="M1123" s="219"/>
      <c r="N1123" s="219"/>
      <c r="O1123" s="219"/>
      <c r="P1123" s="219"/>
      <c r="Q1123" s="219"/>
      <c r="R1123" s="219"/>
      <c r="S1123" s="219"/>
      <c r="T1123" s="219"/>
      <c r="U1123" s="219"/>
      <c r="V1123" s="219"/>
      <c r="W1123" s="219"/>
      <c r="X1123" s="219"/>
      <c r="Y1123" s="219"/>
      <c r="Z1123" s="219"/>
      <c r="AA1123" s="219"/>
      <c r="AB1123" s="219"/>
      <c r="AC1123" s="219"/>
      <c r="AD1123" s="219"/>
      <c r="AE1123" s="219"/>
      <c r="AF1123" s="219"/>
      <c r="AG1123" s="219"/>
      <c r="AH1123" s="219"/>
      <c r="AI1123" s="219"/>
      <c r="AJ1123" s="777"/>
    </row>
    <row r="1124" spans="1:36" ht="14">
      <c r="A1124" s="40"/>
      <c r="B1124" s="40"/>
      <c r="C1124" s="124">
        <v>1</v>
      </c>
      <c r="D1124" s="124"/>
      <c r="E1124" s="124"/>
      <c r="F1124" s="41"/>
      <c r="G1124" s="41"/>
      <c r="H1124" s="66" t="s">
        <v>35</v>
      </c>
      <c r="I1124" s="125"/>
      <c r="J1124" s="126"/>
      <c r="K1124" s="204"/>
      <c r="L1124" s="205"/>
      <c r="M1124" s="205"/>
      <c r="N1124" s="205"/>
      <c r="O1124" s="205"/>
      <c r="P1124" s="205"/>
      <c r="Q1124" s="205"/>
      <c r="R1124" s="205"/>
      <c r="S1124" s="205"/>
      <c r="T1124" s="205"/>
      <c r="U1124" s="205"/>
      <c r="V1124" s="205"/>
      <c r="W1124" s="205"/>
      <c r="X1124" s="205"/>
      <c r="Y1124" s="205"/>
      <c r="Z1124" s="205"/>
      <c r="AA1124" s="205"/>
      <c r="AB1124" s="205"/>
      <c r="AC1124" s="205"/>
      <c r="AD1124" s="205"/>
      <c r="AE1124" s="205"/>
      <c r="AF1124" s="205"/>
      <c r="AG1124" s="205"/>
      <c r="AH1124" s="205"/>
      <c r="AI1124" s="205"/>
      <c r="AJ1124" s="747"/>
    </row>
    <row r="1125" spans="1:36" ht="14">
      <c r="A1125" s="40"/>
      <c r="B1125" s="40"/>
      <c r="C1125" s="124"/>
      <c r="D1125" s="124">
        <v>5</v>
      </c>
      <c r="E1125" s="124" t="s">
        <v>199</v>
      </c>
      <c r="F1125" s="41"/>
      <c r="G1125" s="41"/>
      <c r="H1125" s="66"/>
      <c r="I1125" s="125" t="s">
        <v>185</v>
      </c>
      <c r="J1125" s="128">
        <v>82200000</v>
      </c>
      <c r="K1125" s="204"/>
      <c r="L1125" s="217">
        <f>SUM(J1125:K1125)</f>
        <v>82200000</v>
      </c>
      <c r="M1125" s="217"/>
      <c r="N1125" s="217"/>
      <c r="O1125" s="217"/>
      <c r="P1125" s="217"/>
      <c r="Q1125" s="217"/>
      <c r="R1125" s="217"/>
      <c r="S1125" s="217">
        <f t="shared" ref="S1125" si="1260">SUM(M1125:R1125)</f>
        <v>0</v>
      </c>
      <c r="T1125" s="217">
        <f t="shared" ref="T1125" si="1261">S1125+L1125</f>
        <v>82200000</v>
      </c>
      <c r="U1125" s="217"/>
      <c r="V1125" s="217">
        <v>-16411200</v>
      </c>
      <c r="W1125" s="217"/>
      <c r="X1125" s="217">
        <v>-850000</v>
      </c>
      <c r="Y1125" s="217"/>
      <c r="Z1125" s="217">
        <f>SUM(U1125:Y1125)</f>
        <v>-17261200</v>
      </c>
      <c r="AA1125" s="217">
        <f>Z1125+T1125</f>
        <v>64938800</v>
      </c>
      <c r="AB1125" s="217"/>
      <c r="AC1125" s="217"/>
      <c r="AD1125" s="217"/>
      <c r="AE1125" s="217"/>
      <c r="AF1125" s="217"/>
      <c r="AG1125" s="217">
        <f t="shared" ref="AG1125" si="1262">SUM(AB1125:AF1125)</f>
        <v>0</v>
      </c>
      <c r="AH1125" s="217">
        <f t="shared" ref="AH1125" si="1263">AG1125+AA1125</f>
        <v>64938800</v>
      </c>
      <c r="AI1125" s="217">
        <v>64938800</v>
      </c>
      <c r="AJ1125" s="764">
        <f>AI1125/AH1125*100</f>
        <v>100</v>
      </c>
    </row>
    <row r="1126" spans="1:36" ht="14">
      <c r="A1126" s="40"/>
      <c r="B1126" s="40"/>
      <c r="C1126" s="124"/>
      <c r="D1126" s="124"/>
      <c r="E1126" s="124"/>
      <c r="F1126" s="41"/>
      <c r="G1126" s="41"/>
      <c r="H1126" s="66"/>
      <c r="I1126" s="125"/>
      <c r="J1126" s="126"/>
      <c r="K1126" s="204"/>
      <c r="L1126" s="205"/>
      <c r="M1126" s="205"/>
      <c r="N1126" s="205"/>
      <c r="O1126" s="205"/>
      <c r="P1126" s="205"/>
      <c r="Q1126" s="205"/>
      <c r="R1126" s="205"/>
      <c r="S1126" s="205"/>
      <c r="T1126" s="205"/>
      <c r="U1126" s="205"/>
      <c r="V1126" s="205"/>
      <c r="W1126" s="205"/>
      <c r="X1126" s="205"/>
      <c r="Y1126" s="205"/>
      <c r="Z1126" s="205"/>
      <c r="AA1126" s="205"/>
      <c r="AB1126" s="205"/>
      <c r="AC1126" s="205"/>
      <c r="AD1126" s="205"/>
      <c r="AE1126" s="205"/>
      <c r="AF1126" s="205"/>
      <c r="AG1126" s="205"/>
      <c r="AH1126" s="205"/>
      <c r="AI1126" s="205"/>
      <c r="AJ1126" s="747"/>
    </row>
    <row r="1127" spans="1:36" ht="14">
      <c r="A1127" s="40"/>
      <c r="B1127" s="40"/>
      <c r="C1127" s="124"/>
      <c r="D1127" s="124"/>
      <c r="E1127" s="124"/>
      <c r="F1127" s="42"/>
      <c r="G1127" s="42"/>
      <c r="H1127" s="129"/>
      <c r="I1127" s="130" t="s">
        <v>37</v>
      </c>
      <c r="J1127" s="131">
        <f>SUM(J1125:J1126)</f>
        <v>82200000</v>
      </c>
      <c r="K1127" s="209"/>
      <c r="L1127" s="218">
        <f>SUM(L1125:L1126)</f>
        <v>82200000</v>
      </c>
      <c r="M1127" s="218">
        <f t="shared" ref="M1127:T1127" si="1264">SUM(M1125:M1126)</f>
        <v>0</v>
      </c>
      <c r="N1127" s="218">
        <f t="shared" si="1264"/>
        <v>0</v>
      </c>
      <c r="O1127" s="218">
        <f t="shared" si="1264"/>
        <v>0</v>
      </c>
      <c r="P1127" s="218">
        <f t="shared" si="1264"/>
        <v>0</v>
      </c>
      <c r="Q1127" s="218">
        <f t="shared" si="1264"/>
        <v>0</v>
      </c>
      <c r="R1127" s="218">
        <f t="shared" si="1264"/>
        <v>0</v>
      </c>
      <c r="S1127" s="218">
        <f t="shared" si="1264"/>
        <v>0</v>
      </c>
      <c r="T1127" s="218">
        <f t="shared" si="1264"/>
        <v>82200000</v>
      </c>
      <c r="U1127" s="218"/>
      <c r="V1127" s="218">
        <f t="shared" ref="V1127:X1127" si="1265">SUM(V1125:V1126)</f>
        <v>-16411200</v>
      </c>
      <c r="W1127" s="218"/>
      <c r="X1127" s="218">
        <f t="shared" si="1265"/>
        <v>-850000</v>
      </c>
      <c r="Y1127" s="218"/>
      <c r="Z1127" s="218">
        <f t="shared" ref="Z1127:AA1127" si="1266">SUM(Z1125:Z1126)</f>
        <v>-17261200</v>
      </c>
      <c r="AA1127" s="218">
        <f t="shared" si="1266"/>
        <v>64938800</v>
      </c>
      <c r="AB1127" s="218"/>
      <c r="AC1127" s="218">
        <f t="shared" ref="AC1127" si="1267">SUM(AC1125:AC1126)</f>
        <v>0</v>
      </c>
      <c r="AD1127" s="218"/>
      <c r="AE1127" s="218">
        <f t="shared" ref="AE1127" si="1268">SUM(AE1125:AE1126)</f>
        <v>0</v>
      </c>
      <c r="AF1127" s="218"/>
      <c r="AG1127" s="218">
        <f t="shared" ref="AG1127:AI1127" si="1269">SUM(AG1125:AG1126)</f>
        <v>0</v>
      </c>
      <c r="AH1127" s="218">
        <f t="shared" si="1269"/>
        <v>64938800</v>
      </c>
      <c r="AI1127" s="218">
        <f t="shared" si="1269"/>
        <v>64938800</v>
      </c>
      <c r="AJ1127" s="776">
        <f>AI1127/AH1127*100</f>
        <v>100</v>
      </c>
    </row>
    <row r="1128" spans="1:36" ht="14">
      <c r="A1128" s="40"/>
      <c r="B1128" s="40"/>
      <c r="C1128" s="124"/>
      <c r="D1128" s="124"/>
      <c r="E1128" s="124"/>
      <c r="F1128" s="41"/>
      <c r="G1128" s="41"/>
      <c r="H1128" s="66"/>
      <c r="I1128" s="41"/>
      <c r="J1128" s="132"/>
      <c r="K1128" s="210"/>
      <c r="L1128" s="219"/>
      <c r="M1128" s="219"/>
      <c r="N1128" s="219"/>
      <c r="O1128" s="219"/>
      <c r="P1128" s="219"/>
      <c r="Q1128" s="219"/>
      <c r="R1128" s="219"/>
      <c r="S1128" s="219"/>
      <c r="T1128" s="219"/>
      <c r="U1128" s="219"/>
      <c r="V1128" s="219"/>
      <c r="W1128" s="219"/>
      <c r="X1128" s="219"/>
      <c r="Y1128" s="219"/>
      <c r="Z1128" s="219"/>
      <c r="AA1128" s="219"/>
      <c r="AB1128" s="219"/>
      <c r="AC1128" s="219"/>
      <c r="AD1128" s="219"/>
      <c r="AE1128" s="219"/>
      <c r="AF1128" s="219"/>
      <c r="AG1128" s="219"/>
      <c r="AH1128" s="219"/>
      <c r="AI1128" s="219"/>
      <c r="AJ1128" s="777"/>
    </row>
    <row r="1129" spans="1:36" ht="14">
      <c r="A1129" s="40">
        <v>60</v>
      </c>
      <c r="B1129" s="40"/>
      <c r="C1129" s="124"/>
      <c r="D1129" s="124"/>
      <c r="E1129" s="124"/>
      <c r="F1129" s="41" t="s">
        <v>549</v>
      </c>
      <c r="G1129" s="41"/>
      <c r="H1129" s="66"/>
      <c r="I1129" s="41"/>
      <c r="J1129" s="132"/>
      <c r="K1129" s="210"/>
      <c r="L1129" s="219"/>
      <c r="M1129" s="219"/>
      <c r="N1129" s="219"/>
      <c r="O1129" s="219"/>
      <c r="P1129" s="219"/>
      <c r="Q1129" s="219"/>
      <c r="R1129" s="219"/>
      <c r="S1129" s="219"/>
      <c r="T1129" s="219"/>
      <c r="U1129" s="219"/>
      <c r="V1129" s="219"/>
      <c r="W1129" s="219"/>
      <c r="X1129" s="219"/>
      <c r="Y1129" s="219"/>
      <c r="Z1129" s="219"/>
      <c r="AA1129" s="219"/>
      <c r="AB1129" s="219"/>
      <c r="AC1129" s="219"/>
      <c r="AD1129" s="219"/>
      <c r="AE1129" s="219"/>
      <c r="AF1129" s="219"/>
      <c r="AG1129" s="219"/>
      <c r="AH1129" s="219"/>
      <c r="AI1129" s="219"/>
      <c r="AJ1129" s="777"/>
    </row>
    <row r="1130" spans="1:36" ht="14">
      <c r="A1130" s="40"/>
      <c r="B1130" s="40"/>
      <c r="C1130" s="124">
        <v>1</v>
      </c>
      <c r="D1130" s="124"/>
      <c r="E1130" s="124"/>
      <c r="F1130" s="41"/>
      <c r="G1130" s="41"/>
      <c r="H1130" s="66" t="s">
        <v>35</v>
      </c>
      <c r="I1130" s="125"/>
      <c r="J1130" s="126"/>
      <c r="K1130" s="204"/>
      <c r="L1130" s="205"/>
      <c r="M1130" s="205"/>
      <c r="N1130" s="205"/>
      <c r="O1130" s="205"/>
      <c r="P1130" s="205"/>
      <c r="Q1130" s="205"/>
      <c r="R1130" s="205"/>
      <c r="S1130" s="205"/>
      <c r="T1130" s="205"/>
      <c r="U1130" s="205"/>
      <c r="V1130" s="205"/>
      <c r="W1130" s="205"/>
      <c r="X1130" s="205"/>
      <c r="Y1130" s="205"/>
      <c r="Z1130" s="205"/>
      <c r="AA1130" s="205"/>
      <c r="AB1130" s="205"/>
      <c r="AC1130" s="205"/>
      <c r="AD1130" s="205"/>
      <c r="AE1130" s="205"/>
      <c r="AF1130" s="205"/>
      <c r="AG1130" s="205"/>
      <c r="AH1130" s="205"/>
      <c r="AI1130" s="205"/>
      <c r="AJ1130" s="747"/>
    </row>
    <row r="1131" spans="1:36" ht="14">
      <c r="A1131" s="40"/>
      <c r="B1131" s="40"/>
      <c r="C1131" s="124"/>
      <c r="D1131" s="465">
        <v>3</v>
      </c>
      <c r="E1131" s="465" t="s">
        <v>198</v>
      </c>
      <c r="F1131" s="125"/>
      <c r="G1131" s="481"/>
      <c r="H1131" s="125"/>
      <c r="I1131" s="66" t="s">
        <v>116</v>
      </c>
      <c r="J1131" s="128">
        <v>12000000</v>
      </c>
      <c r="K1131" s="204"/>
      <c r="L1131" s="217"/>
      <c r="M1131" s="217">
        <v>7957850</v>
      </c>
      <c r="N1131" s="217"/>
      <c r="O1131" s="217"/>
      <c r="P1131" s="217"/>
      <c r="Q1131" s="217"/>
      <c r="R1131" s="217"/>
      <c r="S1131" s="217">
        <f t="shared" ref="S1131" si="1270">SUM(M1131:R1131)</f>
        <v>7957850</v>
      </c>
      <c r="T1131" s="217">
        <f t="shared" ref="T1131" si="1271">S1131+L1131</f>
        <v>7957850</v>
      </c>
      <c r="U1131" s="217"/>
      <c r="V1131" s="217"/>
      <c r="W1131" s="217"/>
      <c r="X1131" s="217"/>
      <c r="Y1131" s="217"/>
      <c r="Z1131" s="217">
        <f>SUM(U1131:Y1131)</f>
        <v>0</v>
      </c>
      <c r="AA1131" s="217">
        <f>Z1131+T1131</f>
        <v>7957850</v>
      </c>
      <c r="AB1131" s="217"/>
      <c r="AC1131" s="217"/>
      <c r="AD1131" s="217"/>
      <c r="AE1131" s="217"/>
      <c r="AF1131" s="217"/>
      <c r="AG1131" s="217">
        <f t="shared" ref="AG1131" si="1272">SUM(AB1131:AF1131)</f>
        <v>0</v>
      </c>
      <c r="AH1131" s="217">
        <f t="shared" ref="AH1131" si="1273">AG1131+AA1131</f>
        <v>7957850</v>
      </c>
      <c r="AI1131" s="217">
        <v>2724150</v>
      </c>
      <c r="AJ1131" s="764">
        <f>AI1131/AH1131*100</f>
        <v>34.232236093919838</v>
      </c>
    </row>
    <row r="1132" spans="1:36" ht="14">
      <c r="A1132" s="40"/>
      <c r="B1132" s="40"/>
      <c r="C1132" s="124"/>
      <c r="D1132" s="124"/>
      <c r="E1132" s="124"/>
      <c r="F1132" s="41"/>
      <c r="G1132" s="41"/>
      <c r="H1132" s="66"/>
      <c r="I1132" s="125"/>
      <c r="J1132" s="126"/>
      <c r="K1132" s="204"/>
      <c r="L1132" s="205"/>
      <c r="M1132" s="205"/>
      <c r="N1132" s="205"/>
      <c r="O1132" s="205"/>
      <c r="P1132" s="205"/>
      <c r="Q1132" s="205"/>
      <c r="R1132" s="205"/>
      <c r="S1132" s="205"/>
      <c r="T1132" s="205"/>
      <c r="U1132" s="205"/>
      <c r="V1132" s="205"/>
      <c r="W1132" s="205"/>
      <c r="X1132" s="205"/>
      <c r="Y1132" s="205"/>
      <c r="Z1132" s="205"/>
      <c r="AA1132" s="205"/>
      <c r="AB1132" s="205"/>
      <c r="AC1132" s="205"/>
      <c r="AD1132" s="205"/>
      <c r="AE1132" s="205"/>
      <c r="AF1132" s="205"/>
      <c r="AG1132" s="205"/>
      <c r="AH1132" s="205"/>
      <c r="AI1132" s="205"/>
      <c r="AJ1132" s="747"/>
    </row>
    <row r="1133" spans="1:36" ht="14">
      <c r="A1133" s="40"/>
      <c r="B1133" s="40"/>
      <c r="C1133" s="124"/>
      <c r="D1133" s="124"/>
      <c r="E1133" s="124"/>
      <c r="F1133" s="42"/>
      <c r="G1133" s="42"/>
      <c r="H1133" s="129"/>
      <c r="I1133" s="130" t="s">
        <v>37</v>
      </c>
      <c r="J1133" s="131">
        <f>SUM(J1131:J1132)</f>
        <v>12000000</v>
      </c>
      <c r="K1133" s="209"/>
      <c r="L1133" s="218">
        <f>SUM(L1131:L1132)</f>
        <v>0</v>
      </c>
      <c r="M1133" s="218">
        <f t="shared" ref="M1133:T1133" si="1274">SUM(M1131:M1132)</f>
        <v>7957850</v>
      </c>
      <c r="N1133" s="218">
        <f t="shared" si="1274"/>
        <v>0</v>
      </c>
      <c r="O1133" s="218">
        <f t="shared" si="1274"/>
        <v>0</v>
      </c>
      <c r="P1133" s="218">
        <f t="shared" si="1274"/>
        <v>0</v>
      </c>
      <c r="Q1133" s="218">
        <f t="shared" si="1274"/>
        <v>0</v>
      </c>
      <c r="R1133" s="218">
        <f t="shared" si="1274"/>
        <v>0</v>
      </c>
      <c r="S1133" s="218">
        <f t="shared" si="1274"/>
        <v>7957850</v>
      </c>
      <c r="T1133" s="218">
        <f t="shared" si="1274"/>
        <v>7957850</v>
      </c>
      <c r="U1133" s="218"/>
      <c r="V1133" s="218"/>
      <c r="W1133" s="218"/>
      <c r="X1133" s="218"/>
      <c r="Y1133" s="218"/>
      <c r="Z1133" s="218">
        <f t="shared" ref="Z1133:AA1133" si="1275">SUM(Z1131:Z1132)</f>
        <v>0</v>
      </c>
      <c r="AA1133" s="218">
        <f t="shared" si="1275"/>
        <v>7957850</v>
      </c>
      <c r="AB1133" s="218"/>
      <c r="AC1133" s="218"/>
      <c r="AD1133" s="218"/>
      <c r="AE1133" s="218"/>
      <c r="AF1133" s="218"/>
      <c r="AG1133" s="218">
        <f t="shared" ref="AG1133:AI1133" si="1276">SUM(AG1131:AG1132)</f>
        <v>0</v>
      </c>
      <c r="AH1133" s="218">
        <f t="shared" si="1276"/>
        <v>7957850</v>
      </c>
      <c r="AI1133" s="218">
        <f t="shared" si="1276"/>
        <v>2724150</v>
      </c>
      <c r="AJ1133" s="776">
        <f>AI1133/AH1133*100</f>
        <v>34.232236093919838</v>
      </c>
    </row>
    <row r="1134" spans="1:36" ht="13" customHeight="1">
      <c r="A1134" s="40"/>
      <c r="B1134" s="40"/>
      <c r="C1134" s="124"/>
      <c r="D1134" s="124"/>
      <c r="E1134" s="124"/>
      <c r="F1134" s="41"/>
      <c r="G1134" s="41"/>
      <c r="H1134" s="66"/>
      <c r="I1134" s="41"/>
      <c r="J1134" s="132"/>
      <c r="K1134" s="210"/>
      <c r="L1134" s="219"/>
      <c r="M1134" s="219"/>
      <c r="N1134" s="219"/>
      <c r="O1134" s="219"/>
      <c r="P1134" s="219"/>
      <c r="Q1134" s="219"/>
      <c r="R1134" s="219"/>
      <c r="S1134" s="219"/>
      <c r="T1134" s="219"/>
      <c r="U1134" s="219"/>
      <c r="V1134" s="219"/>
      <c r="W1134" s="219"/>
      <c r="X1134" s="219"/>
      <c r="Y1134" s="219"/>
      <c r="Z1134" s="219"/>
      <c r="AA1134" s="219"/>
      <c r="AB1134" s="219"/>
      <c r="AC1134" s="219"/>
      <c r="AD1134" s="219"/>
      <c r="AE1134" s="219"/>
      <c r="AF1134" s="219"/>
      <c r="AG1134" s="219"/>
      <c r="AH1134" s="219"/>
      <c r="AI1134" s="219"/>
      <c r="AJ1134" s="777"/>
    </row>
    <row r="1135" spans="1:36" ht="13" customHeight="1">
      <c r="A1135" s="40">
        <v>61</v>
      </c>
      <c r="B1135" s="40"/>
      <c r="C1135" s="124"/>
      <c r="D1135" s="124"/>
      <c r="E1135" s="124"/>
      <c r="F1135" s="41" t="s">
        <v>550</v>
      </c>
      <c r="G1135" s="41"/>
      <c r="H1135" s="66"/>
      <c r="I1135" s="41"/>
      <c r="J1135" s="132"/>
      <c r="K1135" s="210"/>
      <c r="L1135" s="219"/>
      <c r="M1135" s="219"/>
      <c r="N1135" s="219"/>
      <c r="O1135" s="219"/>
      <c r="P1135" s="219"/>
      <c r="Q1135" s="219"/>
      <c r="R1135" s="219"/>
      <c r="S1135" s="219"/>
      <c r="T1135" s="219"/>
      <c r="U1135" s="219"/>
      <c r="V1135" s="219"/>
      <c r="W1135" s="219"/>
      <c r="X1135" s="219"/>
      <c r="Y1135" s="219"/>
      <c r="Z1135" s="219"/>
      <c r="AA1135" s="219"/>
      <c r="AB1135" s="219"/>
      <c r="AC1135" s="219"/>
      <c r="AD1135" s="219"/>
      <c r="AE1135" s="219"/>
      <c r="AF1135" s="219"/>
      <c r="AG1135" s="219"/>
      <c r="AH1135" s="219"/>
      <c r="AI1135" s="219"/>
      <c r="AJ1135" s="777"/>
    </row>
    <row r="1136" spans="1:36" ht="13" customHeight="1">
      <c r="A1136" s="40"/>
      <c r="B1136" s="40"/>
      <c r="C1136" s="124">
        <v>1</v>
      </c>
      <c r="D1136" s="124"/>
      <c r="E1136" s="124"/>
      <c r="F1136" s="41"/>
      <c r="G1136" s="41"/>
      <c r="H1136" s="66" t="s">
        <v>35</v>
      </c>
      <c r="I1136" s="125"/>
      <c r="J1136" s="126"/>
      <c r="K1136" s="204"/>
      <c r="L1136" s="205"/>
      <c r="M1136" s="205"/>
      <c r="N1136" s="205"/>
      <c r="O1136" s="205"/>
      <c r="P1136" s="205"/>
      <c r="Q1136" s="205"/>
      <c r="R1136" s="205"/>
      <c r="S1136" s="205"/>
      <c r="T1136" s="205"/>
      <c r="U1136" s="205"/>
      <c r="V1136" s="205"/>
      <c r="W1136" s="205"/>
      <c r="X1136" s="205"/>
      <c r="Y1136" s="205"/>
      <c r="Z1136" s="205"/>
      <c r="AA1136" s="205"/>
      <c r="AB1136" s="205"/>
      <c r="AC1136" s="205"/>
      <c r="AD1136" s="205"/>
      <c r="AE1136" s="205"/>
      <c r="AF1136" s="205"/>
      <c r="AG1136" s="205"/>
      <c r="AH1136" s="205"/>
      <c r="AI1136" s="205"/>
      <c r="AJ1136" s="747"/>
    </row>
    <row r="1137" spans="1:36" ht="13" customHeight="1">
      <c r="A1137" s="40"/>
      <c r="B1137" s="40"/>
      <c r="C1137" s="124"/>
      <c r="D1137" s="465">
        <v>3</v>
      </c>
      <c r="E1137" s="465" t="s">
        <v>198</v>
      </c>
      <c r="F1137" s="125"/>
      <c r="G1137" s="481"/>
      <c r="H1137" s="125"/>
      <c r="I1137" s="66" t="s">
        <v>116</v>
      </c>
      <c r="J1137" s="128">
        <v>12000000</v>
      </c>
      <c r="K1137" s="204"/>
      <c r="L1137" s="217"/>
      <c r="M1137" s="217">
        <v>5900000</v>
      </c>
      <c r="N1137" s="217"/>
      <c r="O1137" s="217"/>
      <c r="P1137" s="217"/>
      <c r="Q1137" s="217">
        <v>-2643250</v>
      </c>
      <c r="R1137" s="217"/>
      <c r="S1137" s="217">
        <f t="shared" ref="S1137" si="1277">SUM(M1137:R1137)</f>
        <v>3256750</v>
      </c>
      <c r="T1137" s="217">
        <f t="shared" ref="T1137" si="1278">S1137+L1137</f>
        <v>3256750</v>
      </c>
      <c r="U1137" s="217"/>
      <c r="V1137" s="217"/>
      <c r="W1137" s="217"/>
      <c r="X1137" s="217"/>
      <c r="Y1137" s="217"/>
      <c r="Z1137" s="217">
        <f>SUM(U1137:Y1137)</f>
        <v>0</v>
      </c>
      <c r="AA1137" s="217">
        <f>Z1137+T1137</f>
        <v>3256750</v>
      </c>
      <c r="AB1137" s="217"/>
      <c r="AC1137" s="217"/>
      <c r="AD1137" s="217"/>
      <c r="AE1137" s="217">
        <v>-209370</v>
      </c>
      <c r="AF1137" s="217"/>
      <c r="AG1137" s="217">
        <f t="shared" ref="AG1137" si="1279">SUM(AB1137:AF1137)</f>
        <v>-209370</v>
      </c>
      <c r="AH1137" s="217">
        <f t="shared" ref="AH1137" si="1280">AG1137+AA1137</f>
        <v>3047380</v>
      </c>
      <c r="AI1137" s="217">
        <v>1690474</v>
      </c>
      <c r="AJ1137" s="764">
        <f>AI1137/AH1137*100</f>
        <v>55.473029290734985</v>
      </c>
    </row>
    <row r="1138" spans="1:36" ht="8" customHeight="1">
      <c r="A1138" s="40"/>
      <c r="B1138" s="40"/>
      <c r="C1138" s="124"/>
      <c r="D1138" s="124"/>
      <c r="E1138" s="124"/>
      <c r="F1138" s="41"/>
      <c r="G1138" s="41"/>
      <c r="H1138" s="66"/>
      <c r="I1138" s="125"/>
      <c r="J1138" s="126"/>
      <c r="K1138" s="204"/>
      <c r="L1138" s="205"/>
      <c r="M1138" s="205"/>
      <c r="N1138" s="205"/>
      <c r="O1138" s="205"/>
      <c r="P1138" s="205"/>
      <c r="Q1138" s="205"/>
      <c r="R1138" s="205"/>
      <c r="S1138" s="205"/>
      <c r="T1138" s="205"/>
      <c r="U1138" s="205"/>
      <c r="V1138" s="205"/>
      <c r="W1138" s="205"/>
      <c r="X1138" s="205"/>
      <c r="Y1138" s="205"/>
      <c r="Z1138" s="205"/>
      <c r="AA1138" s="205"/>
      <c r="AB1138" s="205"/>
      <c r="AC1138" s="205"/>
      <c r="AD1138" s="205"/>
      <c r="AE1138" s="205"/>
      <c r="AF1138" s="205"/>
      <c r="AG1138" s="205"/>
      <c r="AH1138" s="205"/>
      <c r="AI1138" s="205"/>
      <c r="AJ1138" s="747"/>
    </row>
    <row r="1139" spans="1:36" ht="14">
      <c r="A1139" s="40"/>
      <c r="B1139" s="40"/>
      <c r="C1139" s="124"/>
      <c r="D1139" s="124"/>
      <c r="E1139" s="124"/>
      <c r="F1139" s="42"/>
      <c r="G1139" s="42"/>
      <c r="H1139" s="129"/>
      <c r="I1139" s="130" t="s">
        <v>37</v>
      </c>
      <c r="J1139" s="131">
        <f>SUM(J1137:J1138)</f>
        <v>12000000</v>
      </c>
      <c r="K1139" s="209"/>
      <c r="L1139" s="218">
        <f>SUM(L1137:L1138)</f>
        <v>0</v>
      </c>
      <c r="M1139" s="218">
        <f t="shared" ref="M1139:T1139" si="1281">SUM(M1137:M1138)</f>
        <v>5900000</v>
      </c>
      <c r="N1139" s="218">
        <f t="shared" si="1281"/>
        <v>0</v>
      </c>
      <c r="O1139" s="218">
        <f t="shared" si="1281"/>
        <v>0</v>
      </c>
      <c r="P1139" s="218">
        <f t="shared" si="1281"/>
        <v>0</v>
      </c>
      <c r="Q1139" s="218">
        <f t="shared" si="1281"/>
        <v>-2643250</v>
      </c>
      <c r="R1139" s="218">
        <f t="shared" si="1281"/>
        <v>0</v>
      </c>
      <c r="S1139" s="218">
        <f t="shared" si="1281"/>
        <v>3256750</v>
      </c>
      <c r="T1139" s="218">
        <f t="shared" si="1281"/>
        <v>3256750</v>
      </c>
      <c r="U1139" s="218"/>
      <c r="V1139" s="218"/>
      <c r="W1139" s="218"/>
      <c r="X1139" s="218"/>
      <c r="Y1139" s="218"/>
      <c r="Z1139" s="218">
        <f t="shared" ref="Z1139:AA1139" si="1282">SUM(Z1137:Z1138)</f>
        <v>0</v>
      </c>
      <c r="AA1139" s="218">
        <f t="shared" si="1282"/>
        <v>3256750</v>
      </c>
      <c r="AB1139" s="218"/>
      <c r="AC1139" s="218"/>
      <c r="AD1139" s="218"/>
      <c r="AE1139" s="218">
        <f t="shared" ref="AE1139:AI1139" si="1283">SUM(AE1137:AE1138)</f>
        <v>-209370</v>
      </c>
      <c r="AF1139" s="218"/>
      <c r="AG1139" s="218">
        <f t="shared" si="1283"/>
        <v>-209370</v>
      </c>
      <c r="AH1139" s="218">
        <f t="shared" si="1283"/>
        <v>3047380</v>
      </c>
      <c r="AI1139" s="218">
        <f t="shared" si="1283"/>
        <v>1690474</v>
      </c>
      <c r="AJ1139" s="776">
        <f>AI1139/AH1139*100</f>
        <v>55.473029290734985</v>
      </c>
    </row>
    <row r="1140" spans="1:36" ht="9" customHeight="1">
      <c r="A1140" s="40"/>
      <c r="B1140" s="40"/>
      <c r="C1140" s="124"/>
      <c r="D1140" s="124"/>
      <c r="E1140" s="124"/>
      <c r="F1140" s="41"/>
      <c r="G1140" s="41"/>
      <c r="H1140" s="66"/>
      <c r="I1140" s="41"/>
      <c r="J1140" s="132"/>
      <c r="K1140" s="210"/>
      <c r="L1140" s="219"/>
      <c r="M1140" s="219"/>
      <c r="N1140" s="219"/>
      <c r="O1140" s="219"/>
      <c r="P1140" s="219"/>
      <c r="Q1140" s="219"/>
      <c r="R1140" s="219"/>
      <c r="S1140" s="219"/>
      <c r="T1140" s="219"/>
      <c r="U1140" s="219"/>
      <c r="V1140" s="219"/>
      <c r="W1140" s="219"/>
      <c r="X1140" s="219"/>
      <c r="Y1140" s="219"/>
      <c r="Z1140" s="219"/>
      <c r="AA1140" s="219"/>
      <c r="AB1140" s="219"/>
      <c r="AC1140" s="219"/>
      <c r="AD1140" s="219"/>
      <c r="AE1140" s="219"/>
      <c r="AF1140" s="219"/>
      <c r="AG1140" s="219"/>
      <c r="AH1140" s="219"/>
      <c r="AI1140" s="219"/>
      <c r="AJ1140" s="777"/>
    </row>
    <row r="1141" spans="1:36" ht="13" customHeight="1">
      <c r="A1141" s="40">
        <v>62</v>
      </c>
      <c r="B1141" s="40"/>
      <c r="C1141" s="124"/>
      <c r="D1141" s="124"/>
      <c r="E1141" s="124"/>
      <c r="F1141" s="41" t="s">
        <v>551</v>
      </c>
      <c r="G1141" s="41"/>
      <c r="H1141" s="66"/>
      <c r="I1141" s="41"/>
      <c r="J1141" s="132"/>
      <c r="K1141" s="210"/>
      <c r="L1141" s="219"/>
      <c r="M1141" s="219"/>
      <c r="N1141" s="219"/>
      <c r="O1141" s="219"/>
      <c r="P1141" s="219"/>
      <c r="Q1141" s="219"/>
      <c r="R1141" s="219"/>
      <c r="S1141" s="219"/>
      <c r="T1141" s="219"/>
      <c r="U1141" s="219"/>
      <c r="V1141" s="219"/>
      <c r="W1141" s="219"/>
      <c r="X1141" s="219"/>
      <c r="Y1141" s="219"/>
      <c r="Z1141" s="219"/>
      <c r="AA1141" s="219"/>
      <c r="AB1141" s="219"/>
      <c r="AC1141" s="219"/>
      <c r="AD1141" s="219"/>
      <c r="AE1141" s="219"/>
      <c r="AF1141" s="219"/>
      <c r="AG1141" s="219"/>
      <c r="AH1141" s="219"/>
      <c r="AI1141" s="219"/>
      <c r="AJ1141" s="777"/>
    </row>
    <row r="1142" spans="1:36" ht="14">
      <c r="A1142" s="40"/>
      <c r="B1142" s="40"/>
      <c r="C1142" s="124">
        <v>1</v>
      </c>
      <c r="D1142" s="124"/>
      <c r="E1142" s="124"/>
      <c r="F1142" s="41"/>
      <c r="G1142" s="41"/>
      <c r="H1142" s="66" t="s">
        <v>35</v>
      </c>
      <c r="I1142" s="125"/>
      <c r="J1142" s="126"/>
      <c r="K1142" s="204"/>
      <c r="L1142" s="205"/>
      <c r="M1142" s="205"/>
      <c r="N1142" s="205"/>
      <c r="O1142" s="205"/>
      <c r="P1142" s="205"/>
      <c r="Q1142" s="205"/>
      <c r="R1142" s="205"/>
      <c r="S1142" s="205"/>
      <c r="T1142" s="205"/>
      <c r="U1142" s="205"/>
      <c r="V1142" s="205"/>
      <c r="W1142" s="205"/>
      <c r="X1142" s="205"/>
      <c r="Y1142" s="205"/>
      <c r="Z1142" s="205"/>
      <c r="AA1142" s="205"/>
      <c r="AB1142" s="205"/>
      <c r="AC1142" s="205"/>
      <c r="AD1142" s="205"/>
      <c r="AE1142" s="205"/>
      <c r="AF1142" s="205"/>
      <c r="AG1142" s="205"/>
      <c r="AH1142" s="205"/>
      <c r="AI1142" s="205"/>
      <c r="AJ1142" s="747"/>
    </row>
    <row r="1143" spans="1:36" ht="14">
      <c r="A1143" s="40"/>
      <c r="B1143" s="40"/>
      <c r="C1143" s="124"/>
      <c r="D1143" s="124">
        <v>1</v>
      </c>
      <c r="E1143" s="124" t="s">
        <v>198</v>
      </c>
      <c r="F1143" s="41"/>
      <c r="G1143" s="41"/>
      <c r="H1143" s="66"/>
      <c r="I1143" s="66" t="s">
        <v>180</v>
      </c>
      <c r="J1143" s="126"/>
      <c r="K1143" s="204"/>
      <c r="L1143" s="205"/>
      <c r="M1143" s="205"/>
      <c r="N1143" s="205"/>
      <c r="O1143" s="205"/>
      <c r="P1143" s="205"/>
      <c r="Q1143" s="205"/>
      <c r="R1143" s="205"/>
      <c r="S1143" s="217">
        <f t="shared" ref="S1143:S1145" si="1284">SUM(M1143:R1143)</f>
        <v>0</v>
      </c>
      <c r="T1143" s="217">
        <f t="shared" ref="T1143:T1145" si="1285">S1143+L1143</f>
        <v>0</v>
      </c>
      <c r="U1143" s="205"/>
      <c r="V1143" s="205"/>
      <c r="W1143" s="205"/>
      <c r="X1143" s="205"/>
      <c r="Y1143" s="205"/>
      <c r="Z1143" s="217">
        <f>SUM(U1143:Y1143)</f>
        <v>0</v>
      </c>
      <c r="AA1143" s="217">
        <f>Z1143+T1143</f>
        <v>0</v>
      </c>
      <c r="AB1143" s="205"/>
      <c r="AC1143" s="205"/>
      <c r="AD1143" s="205"/>
      <c r="AE1143" s="205"/>
      <c r="AF1143" s="205"/>
      <c r="AG1143" s="217">
        <f t="shared" ref="AG1143:AG1145" si="1286">SUM(AB1143:AF1143)</f>
        <v>0</v>
      </c>
      <c r="AH1143" s="217">
        <f t="shared" ref="AH1143:AH1145" si="1287">AG1143+AA1143</f>
        <v>0</v>
      </c>
      <c r="AI1143" s="217"/>
      <c r="AJ1143" s="764"/>
    </row>
    <row r="1144" spans="1:36" ht="14">
      <c r="A1144" s="40"/>
      <c r="B1144" s="40"/>
      <c r="C1144" s="124"/>
      <c r="D1144" s="124">
        <v>2</v>
      </c>
      <c r="E1144" s="124" t="s">
        <v>198</v>
      </c>
      <c r="F1144" s="41"/>
      <c r="G1144" s="41"/>
      <c r="H1144" s="66"/>
      <c r="I1144" s="66" t="s">
        <v>182</v>
      </c>
      <c r="J1144" s="126"/>
      <c r="K1144" s="204"/>
      <c r="L1144" s="205"/>
      <c r="M1144" s="205"/>
      <c r="N1144" s="205"/>
      <c r="O1144" s="205"/>
      <c r="P1144" s="205"/>
      <c r="Q1144" s="205"/>
      <c r="R1144" s="205"/>
      <c r="S1144" s="217">
        <f t="shared" si="1284"/>
        <v>0</v>
      </c>
      <c r="T1144" s="217">
        <f t="shared" si="1285"/>
        <v>0</v>
      </c>
      <c r="U1144" s="205"/>
      <c r="V1144" s="205"/>
      <c r="W1144" s="205"/>
      <c r="X1144" s="205"/>
      <c r="Y1144" s="205"/>
      <c r="Z1144" s="217">
        <f>SUM(U1144:Y1144)</f>
        <v>0</v>
      </c>
      <c r="AA1144" s="217">
        <f>Z1144+T1144</f>
        <v>0</v>
      </c>
      <c r="AB1144" s="205"/>
      <c r="AC1144" s="205"/>
      <c r="AD1144" s="205"/>
      <c r="AE1144" s="205"/>
      <c r="AF1144" s="205"/>
      <c r="AG1144" s="217">
        <f t="shared" si="1286"/>
        <v>0</v>
      </c>
      <c r="AH1144" s="217">
        <f t="shared" si="1287"/>
        <v>0</v>
      </c>
      <c r="AI1144" s="217"/>
      <c r="AJ1144" s="764"/>
    </row>
    <row r="1145" spans="1:36" ht="14">
      <c r="A1145" s="40"/>
      <c r="B1145" s="40"/>
      <c r="C1145" s="124"/>
      <c r="D1145" s="465">
        <v>3</v>
      </c>
      <c r="E1145" s="465" t="s">
        <v>198</v>
      </c>
      <c r="F1145" s="125"/>
      <c r="G1145" s="481"/>
      <c r="H1145" s="125"/>
      <c r="I1145" s="66" t="s">
        <v>116</v>
      </c>
      <c r="J1145" s="128">
        <v>12000000</v>
      </c>
      <c r="K1145" s="204"/>
      <c r="L1145" s="217"/>
      <c r="M1145" s="217"/>
      <c r="N1145" s="217"/>
      <c r="O1145" s="217">
        <v>2300000</v>
      </c>
      <c r="P1145" s="217"/>
      <c r="Q1145" s="217"/>
      <c r="R1145" s="217"/>
      <c r="S1145" s="217">
        <f t="shared" si="1284"/>
        <v>2300000</v>
      </c>
      <c r="T1145" s="217">
        <f t="shared" si="1285"/>
        <v>2300000</v>
      </c>
      <c r="U1145" s="217"/>
      <c r="V1145" s="217"/>
      <c r="W1145" s="217"/>
      <c r="X1145" s="217">
        <v>-2300000</v>
      </c>
      <c r="Y1145" s="217"/>
      <c r="Z1145" s="217">
        <f>SUM(U1145:Y1145)</f>
        <v>-2300000</v>
      </c>
      <c r="AA1145" s="217">
        <f>Z1145+T1145</f>
        <v>0</v>
      </c>
      <c r="AB1145" s="217"/>
      <c r="AC1145" s="217"/>
      <c r="AD1145" s="217"/>
      <c r="AE1145" s="217"/>
      <c r="AF1145" s="217"/>
      <c r="AG1145" s="217">
        <f t="shared" si="1286"/>
        <v>0</v>
      </c>
      <c r="AH1145" s="217">
        <f t="shared" si="1287"/>
        <v>0</v>
      </c>
      <c r="AI1145" s="217"/>
      <c r="AJ1145" s="764"/>
    </row>
    <row r="1146" spans="1:36" ht="14">
      <c r="A1146" s="40"/>
      <c r="B1146" s="40"/>
      <c r="C1146" s="124"/>
      <c r="D1146" s="124"/>
      <c r="E1146" s="124"/>
      <c r="F1146" s="41"/>
      <c r="G1146" s="41"/>
      <c r="H1146" s="66"/>
      <c r="I1146" s="125"/>
      <c r="J1146" s="126"/>
      <c r="K1146" s="204"/>
      <c r="L1146" s="205"/>
      <c r="M1146" s="205"/>
      <c r="N1146" s="205"/>
      <c r="O1146" s="205"/>
      <c r="P1146" s="205"/>
      <c r="Q1146" s="205"/>
      <c r="R1146" s="205"/>
      <c r="S1146" s="205"/>
      <c r="T1146" s="205"/>
      <c r="U1146" s="205"/>
      <c r="V1146" s="205"/>
      <c r="W1146" s="205"/>
      <c r="X1146" s="205"/>
      <c r="Y1146" s="205"/>
      <c r="Z1146" s="205"/>
      <c r="AA1146" s="205"/>
      <c r="AB1146" s="205"/>
      <c r="AC1146" s="205"/>
      <c r="AD1146" s="205"/>
      <c r="AE1146" s="205"/>
      <c r="AF1146" s="205"/>
      <c r="AG1146" s="205"/>
      <c r="AH1146" s="205"/>
      <c r="AI1146" s="205"/>
      <c r="AJ1146" s="747"/>
    </row>
    <row r="1147" spans="1:36" ht="14">
      <c r="A1147" s="40"/>
      <c r="B1147" s="40"/>
      <c r="C1147" s="124"/>
      <c r="D1147" s="124"/>
      <c r="E1147" s="124"/>
      <c r="F1147" s="42"/>
      <c r="G1147" s="42"/>
      <c r="H1147" s="129"/>
      <c r="I1147" s="130" t="s">
        <v>37</v>
      </c>
      <c r="J1147" s="131">
        <f>SUM(J1145:J1146)</f>
        <v>12000000</v>
      </c>
      <c r="K1147" s="209"/>
      <c r="L1147" s="218"/>
      <c r="M1147" s="218">
        <f t="shared" ref="M1147:S1147" si="1288">SUM(M1143:M1146)</f>
        <v>0</v>
      </c>
      <c r="N1147" s="218">
        <f t="shared" si="1288"/>
        <v>0</v>
      </c>
      <c r="O1147" s="218">
        <f t="shared" si="1288"/>
        <v>2300000</v>
      </c>
      <c r="P1147" s="218">
        <f t="shared" si="1288"/>
        <v>0</v>
      </c>
      <c r="Q1147" s="218">
        <f t="shared" si="1288"/>
        <v>0</v>
      </c>
      <c r="R1147" s="218">
        <f t="shared" si="1288"/>
        <v>0</v>
      </c>
      <c r="S1147" s="218">
        <f t="shared" si="1288"/>
        <v>2300000</v>
      </c>
      <c r="T1147" s="218">
        <f>SUM(T1143:T1146)</f>
        <v>2300000</v>
      </c>
      <c r="U1147" s="218"/>
      <c r="V1147" s="218"/>
      <c r="W1147" s="218"/>
      <c r="X1147" s="218">
        <f t="shared" ref="X1147:Z1147" si="1289">SUM(X1143:X1146)</f>
        <v>-2300000</v>
      </c>
      <c r="Y1147" s="218"/>
      <c r="Z1147" s="218">
        <f t="shared" si="1289"/>
        <v>-2300000</v>
      </c>
      <c r="AA1147" s="218">
        <f>SUM(AA1143:AA1146)</f>
        <v>0</v>
      </c>
      <c r="AB1147" s="218"/>
      <c r="AC1147" s="218"/>
      <c r="AD1147" s="218"/>
      <c r="AE1147" s="218">
        <f t="shared" ref="AE1147" si="1290">SUM(AE1143:AE1146)</f>
        <v>0</v>
      </c>
      <c r="AF1147" s="218"/>
      <c r="AG1147" s="218">
        <f t="shared" ref="AG1147" si="1291">SUM(AG1143:AG1146)</f>
        <v>0</v>
      </c>
      <c r="AH1147" s="218">
        <f>SUM(AH1143:AH1146)</f>
        <v>0</v>
      </c>
      <c r="AI1147" s="218"/>
      <c r="AJ1147" s="776"/>
    </row>
    <row r="1148" spans="1:36" ht="14">
      <c r="A1148" s="40"/>
      <c r="B1148" s="40"/>
      <c r="C1148" s="124"/>
      <c r="D1148" s="124"/>
      <c r="E1148" s="124"/>
      <c r="F1148" s="41"/>
      <c r="G1148" s="41"/>
      <c r="H1148" s="66"/>
      <c r="I1148" s="41"/>
      <c r="J1148" s="132"/>
      <c r="K1148" s="210"/>
      <c r="L1148" s="219"/>
      <c r="M1148" s="219"/>
      <c r="N1148" s="219"/>
      <c r="O1148" s="219"/>
      <c r="P1148" s="219"/>
      <c r="Q1148" s="219"/>
      <c r="R1148" s="219"/>
      <c r="S1148" s="219"/>
      <c r="T1148" s="219"/>
      <c r="U1148" s="219"/>
      <c r="V1148" s="219"/>
      <c r="W1148" s="219"/>
      <c r="X1148" s="219"/>
      <c r="Y1148" s="219"/>
      <c r="Z1148" s="219"/>
      <c r="AA1148" s="219"/>
      <c r="AB1148" s="219"/>
      <c r="AC1148" s="219"/>
      <c r="AD1148" s="219"/>
      <c r="AE1148" s="219"/>
      <c r="AF1148" s="219"/>
      <c r="AG1148" s="219"/>
      <c r="AH1148" s="219"/>
      <c r="AI1148" s="219"/>
      <c r="AJ1148" s="777"/>
    </row>
    <row r="1149" spans="1:36" ht="14">
      <c r="A1149" s="40">
        <v>63</v>
      </c>
      <c r="B1149" s="40"/>
      <c r="C1149" s="124"/>
      <c r="D1149" s="124"/>
      <c r="E1149" s="124"/>
      <c r="F1149" s="41" t="s">
        <v>649</v>
      </c>
      <c r="G1149" s="41"/>
      <c r="H1149" s="66"/>
      <c r="I1149" s="41"/>
      <c r="J1149" s="132"/>
      <c r="K1149" s="210"/>
      <c r="L1149" s="219"/>
      <c r="M1149" s="219"/>
      <c r="N1149" s="219"/>
      <c r="O1149" s="219"/>
      <c r="P1149" s="219"/>
      <c r="Q1149" s="219"/>
      <c r="R1149" s="219"/>
      <c r="S1149" s="219"/>
      <c r="T1149" s="219"/>
      <c r="U1149" s="219"/>
      <c r="V1149" s="219"/>
      <c r="W1149" s="219"/>
      <c r="X1149" s="219"/>
      <c r="Y1149" s="219"/>
      <c r="Z1149" s="219"/>
      <c r="AA1149" s="219"/>
      <c r="AB1149" s="219"/>
      <c r="AC1149" s="219"/>
      <c r="AD1149" s="219"/>
      <c r="AE1149" s="219"/>
      <c r="AF1149" s="219"/>
      <c r="AG1149" s="219"/>
      <c r="AH1149" s="219"/>
      <c r="AI1149" s="219"/>
      <c r="AJ1149" s="777"/>
    </row>
    <row r="1150" spans="1:36" ht="14">
      <c r="A1150" s="40"/>
      <c r="B1150" s="40"/>
      <c r="C1150" s="124">
        <v>1</v>
      </c>
      <c r="D1150" s="124"/>
      <c r="E1150" s="124"/>
      <c r="F1150" s="41"/>
      <c r="G1150" s="41"/>
      <c r="H1150" s="66" t="s">
        <v>35</v>
      </c>
      <c r="I1150" s="125"/>
      <c r="J1150" s="126"/>
      <c r="K1150" s="204"/>
      <c r="L1150" s="205"/>
      <c r="M1150" s="205"/>
      <c r="N1150" s="205"/>
      <c r="O1150" s="205"/>
      <c r="P1150" s="205"/>
      <c r="Q1150" s="205"/>
      <c r="R1150" s="205"/>
      <c r="S1150" s="205"/>
      <c r="T1150" s="205"/>
      <c r="U1150" s="205"/>
      <c r="V1150" s="205"/>
      <c r="W1150" s="205"/>
      <c r="X1150" s="205"/>
      <c r="Y1150" s="205"/>
      <c r="Z1150" s="205"/>
      <c r="AA1150" s="205"/>
      <c r="AB1150" s="205"/>
      <c r="AC1150" s="205"/>
      <c r="AD1150" s="205"/>
      <c r="AE1150" s="205"/>
      <c r="AF1150" s="205"/>
      <c r="AG1150" s="205"/>
      <c r="AH1150" s="205"/>
      <c r="AI1150" s="205"/>
      <c r="AJ1150" s="747"/>
    </row>
    <row r="1151" spans="1:36" ht="14">
      <c r="A1151" s="40"/>
      <c r="B1151" s="40"/>
      <c r="C1151" s="124"/>
      <c r="D1151" s="124">
        <v>1</v>
      </c>
      <c r="E1151" s="124" t="s">
        <v>199</v>
      </c>
      <c r="F1151" s="41"/>
      <c r="G1151" s="41"/>
      <c r="H1151" s="66"/>
      <c r="I1151" s="66" t="s">
        <v>180</v>
      </c>
      <c r="J1151" s="126"/>
      <c r="K1151" s="204"/>
      <c r="L1151" s="205"/>
      <c r="M1151" s="205"/>
      <c r="N1151" s="205"/>
      <c r="O1151" s="205"/>
      <c r="P1151" s="220">
        <v>660000</v>
      </c>
      <c r="Q1151" s="205"/>
      <c r="R1151" s="205"/>
      <c r="S1151" s="217">
        <f t="shared" ref="S1151:S1153" si="1292">SUM(M1151:R1151)</f>
        <v>660000</v>
      </c>
      <c r="T1151" s="217">
        <f t="shared" ref="T1151:T1153" si="1293">S1151+L1151</f>
        <v>660000</v>
      </c>
      <c r="U1151" s="205"/>
      <c r="V1151" s="205"/>
      <c r="W1151" s="220"/>
      <c r="X1151" s="205"/>
      <c r="Y1151" s="205"/>
      <c r="Z1151" s="217">
        <f>SUM(U1151:Y1151)</f>
        <v>0</v>
      </c>
      <c r="AA1151" s="217">
        <f>Z1151+T1151</f>
        <v>660000</v>
      </c>
      <c r="AB1151" s="205"/>
      <c r="AC1151" s="205"/>
      <c r="AD1151" s="220"/>
      <c r="AE1151" s="205"/>
      <c r="AF1151" s="205"/>
      <c r="AG1151" s="217">
        <f t="shared" ref="AG1151:AG1153" si="1294">SUM(AB1151:AF1151)</f>
        <v>0</v>
      </c>
      <c r="AH1151" s="217">
        <f t="shared" ref="AH1151:AH1153" si="1295">AG1151+AA1151</f>
        <v>660000</v>
      </c>
      <c r="AI1151" s="217">
        <v>600000</v>
      </c>
      <c r="AJ1151" s="764">
        <f t="shared" ref="AJ1151:AJ1152" si="1296">AI1151/AH1151*100</f>
        <v>90.909090909090907</v>
      </c>
    </row>
    <row r="1152" spans="1:36" ht="14">
      <c r="A1152" s="40"/>
      <c r="B1152" s="40"/>
      <c r="C1152" s="124"/>
      <c r="D1152" s="124">
        <v>2</v>
      </c>
      <c r="E1152" s="124" t="s">
        <v>199</v>
      </c>
      <c r="F1152" s="41"/>
      <c r="G1152" s="41"/>
      <c r="H1152" s="66"/>
      <c r="I1152" s="66" t="s">
        <v>182</v>
      </c>
      <c r="J1152" s="126"/>
      <c r="K1152" s="204"/>
      <c r="L1152" s="205"/>
      <c r="M1152" s="205"/>
      <c r="N1152" s="205"/>
      <c r="O1152" s="205"/>
      <c r="P1152" s="220">
        <v>145200</v>
      </c>
      <c r="Q1152" s="205"/>
      <c r="R1152" s="205"/>
      <c r="S1152" s="217">
        <f t="shared" si="1292"/>
        <v>145200</v>
      </c>
      <c r="T1152" s="217">
        <f t="shared" si="1293"/>
        <v>145200</v>
      </c>
      <c r="U1152" s="205"/>
      <c r="V1152" s="205"/>
      <c r="W1152" s="220"/>
      <c r="X1152" s="205"/>
      <c r="Y1152" s="205"/>
      <c r="Z1152" s="217">
        <f>SUM(U1152:Y1152)</f>
        <v>0</v>
      </c>
      <c r="AA1152" s="217">
        <f>Z1152+T1152</f>
        <v>145200</v>
      </c>
      <c r="AB1152" s="205"/>
      <c r="AC1152" s="205"/>
      <c r="AD1152" s="220"/>
      <c r="AE1152" s="205"/>
      <c r="AF1152" s="205"/>
      <c r="AG1152" s="217">
        <f t="shared" si="1294"/>
        <v>0</v>
      </c>
      <c r="AH1152" s="217">
        <f t="shared" si="1295"/>
        <v>145200</v>
      </c>
      <c r="AI1152" s="217">
        <v>105300</v>
      </c>
      <c r="AJ1152" s="764">
        <f t="shared" si="1296"/>
        <v>72.52066115702479</v>
      </c>
    </row>
    <row r="1153" spans="1:36" ht="14">
      <c r="A1153" s="40"/>
      <c r="B1153" s="40"/>
      <c r="C1153" s="124"/>
      <c r="D1153" s="465">
        <v>3</v>
      </c>
      <c r="E1153" s="465" t="s">
        <v>199</v>
      </c>
      <c r="F1153" s="125"/>
      <c r="G1153" s="481"/>
      <c r="H1153" s="125"/>
      <c r="I1153" s="66" t="s">
        <v>116</v>
      </c>
      <c r="J1153" s="128">
        <v>12000000</v>
      </c>
      <c r="K1153" s="204"/>
      <c r="L1153" s="217"/>
      <c r="M1153" s="217"/>
      <c r="N1153" s="217"/>
      <c r="O1153" s="217"/>
      <c r="P1153" s="217">
        <v>20000</v>
      </c>
      <c r="Q1153" s="217"/>
      <c r="R1153" s="217"/>
      <c r="S1153" s="217">
        <f t="shared" si="1292"/>
        <v>20000</v>
      </c>
      <c r="T1153" s="217">
        <f t="shared" si="1293"/>
        <v>20000</v>
      </c>
      <c r="U1153" s="217"/>
      <c r="V1153" s="217"/>
      <c r="W1153" s="217"/>
      <c r="X1153" s="217"/>
      <c r="Y1153" s="217"/>
      <c r="Z1153" s="217">
        <f>SUM(U1153:Y1153)</f>
        <v>0</v>
      </c>
      <c r="AA1153" s="217">
        <f>Z1153+T1153</f>
        <v>20000</v>
      </c>
      <c r="AB1153" s="217"/>
      <c r="AC1153" s="217"/>
      <c r="AD1153" s="217"/>
      <c r="AE1153" s="217"/>
      <c r="AF1153" s="217"/>
      <c r="AG1153" s="217">
        <f t="shared" si="1294"/>
        <v>0</v>
      </c>
      <c r="AH1153" s="217">
        <f t="shared" si="1295"/>
        <v>20000</v>
      </c>
      <c r="AI1153" s="217"/>
      <c r="AJ1153" s="764"/>
    </row>
    <row r="1154" spans="1:36" ht="14">
      <c r="A1154" s="40"/>
      <c r="B1154" s="40"/>
      <c r="C1154" s="124"/>
      <c r="D1154" s="124"/>
      <c r="E1154" s="124"/>
      <c r="F1154" s="41"/>
      <c r="G1154" s="41"/>
      <c r="H1154" s="66"/>
      <c r="I1154" s="125"/>
      <c r="J1154" s="126"/>
      <c r="K1154" s="204"/>
      <c r="L1154" s="205"/>
      <c r="M1154" s="205"/>
      <c r="N1154" s="205"/>
      <c r="O1154" s="205"/>
      <c r="P1154" s="205"/>
      <c r="Q1154" s="205"/>
      <c r="R1154" s="205"/>
      <c r="S1154" s="205"/>
      <c r="T1154" s="205"/>
      <c r="U1154" s="205"/>
      <c r="V1154" s="205"/>
      <c r="W1154" s="205"/>
      <c r="X1154" s="205"/>
      <c r="Y1154" s="205"/>
      <c r="Z1154" s="205"/>
      <c r="AA1154" s="205"/>
      <c r="AB1154" s="205"/>
      <c r="AC1154" s="205"/>
      <c r="AD1154" s="205"/>
      <c r="AE1154" s="205"/>
      <c r="AF1154" s="205"/>
      <c r="AG1154" s="205"/>
      <c r="AH1154" s="205"/>
      <c r="AI1154" s="205"/>
      <c r="AJ1154" s="747"/>
    </row>
    <row r="1155" spans="1:36" ht="14">
      <c r="A1155" s="40"/>
      <c r="B1155" s="40"/>
      <c r="C1155" s="124"/>
      <c r="D1155" s="124"/>
      <c r="E1155" s="124"/>
      <c r="F1155" s="42"/>
      <c r="G1155" s="42"/>
      <c r="H1155" s="129"/>
      <c r="I1155" s="130" t="s">
        <v>37</v>
      </c>
      <c r="J1155" s="131">
        <f>SUM(J1153:J1154)</f>
        <v>12000000</v>
      </c>
      <c r="K1155" s="209"/>
      <c r="L1155" s="218"/>
      <c r="M1155" s="218"/>
      <c r="N1155" s="508"/>
      <c r="O1155" s="508"/>
      <c r="P1155" s="508">
        <f>SUM(P1151:P1154)</f>
        <v>825200</v>
      </c>
      <c r="Q1155" s="508">
        <f t="shared" ref="Q1155:S1155" si="1297">SUM(Q1151:Q1154)</f>
        <v>0</v>
      </c>
      <c r="R1155" s="508">
        <f t="shared" si="1297"/>
        <v>0</v>
      </c>
      <c r="S1155" s="508">
        <f t="shared" si="1297"/>
        <v>825200</v>
      </c>
      <c r="T1155" s="508">
        <f t="shared" ref="T1155" si="1298">SUM(T1151:T1154)</f>
        <v>825200</v>
      </c>
      <c r="U1155" s="508"/>
      <c r="V1155" s="508"/>
      <c r="W1155" s="508"/>
      <c r="X1155" s="508"/>
      <c r="Y1155" s="508"/>
      <c r="Z1155" s="508">
        <f t="shared" ref="Z1155:AA1155" si="1299">SUM(Z1151:Z1154)</f>
        <v>0</v>
      </c>
      <c r="AA1155" s="508">
        <f t="shared" si="1299"/>
        <v>825200</v>
      </c>
      <c r="AB1155" s="508"/>
      <c r="AC1155" s="508"/>
      <c r="AD1155" s="508"/>
      <c r="AE1155" s="508"/>
      <c r="AF1155" s="508"/>
      <c r="AG1155" s="508">
        <f t="shared" ref="AG1155:AI1155" si="1300">SUM(AG1151:AG1154)</f>
        <v>0</v>
      </c>
      <c r="AH1155" s="508">
        <f t="shared" si="1300"/>
        <v>825200</v>
      </c>
      <c r="AI1155" s="508">
        <f t="shared" si="1300"/>
        <v>705300</v>
      </c>
      <c r="AJ1155" s="776">
        <f>AI1155/AH1155*100</f>
        <v>85.470189045079977</v>
      </c>
    </row>
    <row r="1156" spans="1:36" ht="14">
      <c r="A1156" s="40"/>
      <c r="B1156" s="40"/>
      <c r="C1156" s="124"/>
      <c r="D1156" s="124"/>
      <c r="E1156" s="124"/>
      <c r="F1156" s="41"/>
      <c r="G1156" s="41"/>
      <c r="H1156" s="66"/>
      <c r="I1156" s="41"/>
      <c r="J1156" s="132"/>
      <c r="K1156" s="210"/>
      <c r="L1156" s="219"/>
      <c r="M1156" s="219"/>
      <c r="N1156" s="219"/>
      <c r="O1156" s="219"/>
      <c r="P1156" s="219"/>
      <c r="Q1156" s="219"/>
      <c r="R1156" s="219"/>
      <c r="S1156" s="219"/>
      <c r="T1156" s="219"/>
      <c r="U1156" s="219"/>
      <c r="V1156" s="219"/>
      <c r="W1156" s="219"/>
      <c r="X1156" s="219"/>
      <c r="Y1156" s="219"/>
      <c r="Z1156" s="219"/>
      <c r="AA1156" s="219"/>
      <c r="AB1156" s="219"/>
      <c r="AC1156" s="219"/>
      <c r="AD1156" s="219"/>
      <c r="AE1156" s="219"/>
      <c r="AF1156" s="219"/>
      <c r="AG1156" s="219"/>
      <c r="AH1156" s="219"/>
      <c r="AI1156" s="219"/>
      <c r="AJ1156" s="777"/>
    </row>
    <row r="1157" spans="1:36" ht="14">
      <c r="A1157" s="40">
        <v>64</v>
      </c>
      <c r="B1157" s="40"/>
      <c r="C1157" s="124"/>
      <c r="D1157" s="124"/>
      <c r="E1157" s="124"/>
      <c r="F1157" s="41" t="s">
        <v>552</v>
      </c>
      <c r="G1157" s="41"/>
      <c r="H1157" s="66"/>
      <c r="I1157" s="41"/>
      <c r="J1157" s="132"/>
      <c r="K1157" s="210"/>
      <c r="L1157" s="219"/>
      <c r="M1157" s="219"/>
      <c r="N1157" s="219"/>
      <c r="O1157" s="219"/>
      <c r="P1157" s="219"/>
      <c r="Q1157" s="219"/>
      <c r="R1157" s="219"/>
      <c r="S1157" s="219"/>
      <c r="T1157" s="219"/>
      <c r="U1157" s="219"/>
      <c r="V1157" s="219"/>
      <c r="W1157" s="219"/>
      <c r="X1157" s="219"/>
      <c r="Y1157" s="219"/>
      <c r="Z1157" s="219"/>
      <c r="AA1157" s="219"/>
      <c r="AB1157" s="219"/>
      <c r="AC1157" s="219"/>
      <c r="AD1157" s="219"/>
      <c r="AE1157" s="219"/>
      <c r="AF1157" s="219"/>
      <c r="AG1157" s="219"/>
      <c r="AH1157" s="219"/>
      <c r="AI1157" s="219"/>
      <c r="AJ1157" s="777"/>
    </row>
    <row r="1158" spans="1:36" ht="14">
      <c r="A1158" s="40"/>
      <c r="B1158" s="40"/>
      <c r="C1158" s="124">
        <v>1</v>
      </c>
      <c r="D1158" s="124"/>
      <c r="E1158" s="124"/>
      <c r="F1158" s="41"/>
      <c r="G1158" s="41"/>
      <c r="H1158" s="66" t="s">
        <v>35</v>
      </c>
      <c r="I1158" s="125"/>
      <c r="J1158" s="126"/>
      <c r="K1158" s="204"/>
      <c r="L1158" s="205"/>
      <c r="M1158" s="205"/>
      <c r="N1158" s="205"/>
      <c r="O1158" s="205"/>
      <c r="P1158" s="205"/>
      <c r="Q1158" s="205"/>
      <c r="R1158" s="205"/>
      <c r="S1158" s="205"/>
      <c r="T1158" s="205"/>
      <c r="U1158" s="205"/>
      <c r="V1158" s="205"/>
      <c r="W1158" s="205"/>
      <c r="X1158" s="205"/>
      <c r="Y1158" s="205"/>
      <c r="Z1158" s="205"/>
      <c r="AA1158" s="205"/>
      <c r="AB1158" s="205"/>
      <c r="AC1158" s="205"/>
      <c r="AD1158" s="205"/>
      <c r="AE1158" s="205"/>
      <c r="AF1158" s="205"/>
      <c r="AG1158" s="205"/>
      <c r="AH1158" s="205"/>
      <c r="AI1158" s="205"/>
      <c r="AJ1158" s="747"/>
    </row>
    <row r="1159" spans="1:36" ht="14">
      <c r="A1159" s="160"/>
      <c r="B1159" s="160"/>
      <c r="C1159" s="161"/>
      <c r="D1159" s="124">
        <v>1</v>
      </c>
      <c r="E1159" s="465" t="s">
        <v>198</v>
      </c>
      <c r="F1159" s="41"/>
      <c r="G1159" s="41"/>
      <c r="H1159" s="66"/>
      <c r="I1159" s="66" t="s">
        <v>180</v>
      </c>
      <c r="J1159" s="205"/>
      <c r="K1159" s="467"/>
      <c r="L1159" s="205"/>
      <c r="M1159" s="205"/>
      <c r="N1159" s="205"/>
      <c r="O1159" s="205"/>
      <c r="P1159" s="205"/>
      <c r="Q1159" s="205"/>
      <c r="R1159" s="205"/>
      <c r="S1159" s="205"/>
      <c r="T1159" s="205"/>
      <c r="U1159" s="205"/>
      <c r="V1159" s="205"/>
      <c r="W1159" s="205"/>
      <c r="X1159" s="205"/>
      <c r="Y1159" s="205"/>
      <c r="Z1159" s="205"/>
      <c r="AA1159" s="205"/>
      <c r="AB1159" s="205"/>
      <c r="AC1159" s="205"/>
      <c r="AD1159" s="205"/>
      <c r="AE1159" s="220">
        <v>1041018</v>
      </c>
      <c r="AF1159" s="205"/>
      <c r="AG1159" s="217">
        <f t="shared" ref="AG1159:AG1160" si="1301">SUM(AB1159:AF1159)</f>
        <v>1041018</v>
      </c>
      <c r="AH1159" s="217">
        <f t="shared" ref="AH1159:AH1160" si="1302">AG1159+AA1159</f>
        <v>1041018</v>
      </c>
      <c r="AI1159" s="220">
        <v>735918</v>
      </c>
      <c r="AJ1159" s="764">
        <f t="shared" ref="AJ1159" si="1303">AI1159/AH1159*100</f>
        <v>70.692149415283893</v>
      </c>
    </row>
    <row r="1160" spans="1:36" ht="14">
      <c r="A1160" s="160"/>
      <c r="B1160" s="160"/>
      <c r="C1160" s="161"/>
      <c r="D1160" s="124">
        <v>2</v>
      </c>
      <c r="E1160" s="465" t="s">
        <v>198</v>
      </c>
      <c r="F1160" s="41"/>
      <c r="G1160" s="41"/>
      <c r="H1160" s="66"/>
      <c r="I1160" s="66" t="s">
        <v>182</v>
      </c>
      <c r="J1160" s="205"/>
      <c r="K1160" s="467"/>
      <c r="L1160" s="205"/>
      <c r="M1160" s="205"/>
      <c r="N1160" s="205"/>
      <c r="O1160" s="205"/>
      <c r="P1160" s="205"/>
      <c r="Q1160" s="205"/>
      <c r="R1160" s="205"/>
      <c r="S1160" s="205"/>
      <c r="T1160" s="205"/>
      <c r="U1160" s="205"/>
      <c r="V1160" s="205"/>
      <c r="W1160" s="205"/>
      <c r="X1160" s="205"/>
      <c r="Y1160" s="205"/>
      <c r="Z1160" s="205"/>
      <c r="AA1160" s="205"/>
      <c r="AB1160" s="205"/>
      <c r="AC1160" s="205"/>
      <c r="AD1160" s="205"/>
      <c r="AE1160" s="220">
        <v>326674</v>
      </c>
      <c r="AF1160" s="205"/>
      <c r="AG1160" s="217">
        <f t="shared" si="1301"/>
        <v>326674</v>
      </c>
      <c r="AH1160" s="217">
        <f t="shared" si="1302"/>
        <v>326674</v>
      </c>
      <c r="AI1160" s="205"/>
      <c r="AJ1160" s="764"/>
    </row>
    <row r="1161" spans="1:36" ht="14">
      <c r="A1161" s="40"/>
      <c r="B1161" s="40"/>
      <c r="C1161" s="124"/>
      <c r="D1161" s="465">
        <v>3</v>
      </c>
      <c r="E1161" s="465" t="s">
        <v>198</v>
      </c>
      <c r="F1161" s="125"/>
      <c r="G1161" s="481"/>
      <c r="H1161" s="125"/>
      <c r="I1161" s="66" t="s">
        <v>116</v>
      </c>
      <c r="J1161" s="128">
        <v>12000000</v>
      </c>
      <c r="K1161" s="204"/>
      <c r="L1161" s="217"/>
      <c r="M1161" s="217">
        <v>1141535</v>
      </c>
      <c r="N1161" s="217"/>
      <c r="O1161" s="217"/>
      <c r="P1161" s="217"/>
      <c r="Q1161" s="217"/>
      <c r="R1161" s="217"/>
      <c r="S1161" s="217">
        <f t="shared" ref="S1161" si="1304">SUM(M1161:R1161)</f>
        <v>1141535</v>
      </c>
      <c r="T1161" s="217">
        <f t="shared" ref="T1161" si="1305">S1161+L1161</f>
        <v>1141535</v>
      </c>
      <c r="U1161" s="217"/>
      <c r="V1161" s="217"/>
      <c r="W1161" s="217"/>
      <c r="X1161" s="217"/>
      <c r="Y1161" s="217"/>
      <c r="Z1161" s="217">
        <f>SUM(U1161:Y1161)</f>
        <v>0</v>
      </c>
      <c r="AA1161" s="217">
        <f>Z1161+T1161</f>
        <v>1141535</v>
      </c>
      <c r="AB1161" s="217"/>
      <c r="AC1161" s="217"/>
      <c r="AD1161" s="217"/>
      <c r="AE1161" s="484">
        <v>729662</v>
      </c>
      <c r="AF1161" s="217"/>
      <c r="AG1161" s="217">
        <f t="shared" ref="AG1161" si="1306">SUM(AB1161:AF1161)</f>
        <v>729662</v>
      </c>
      <c r="AH1161" s="217">
        <f t="shared" ref="AH1161" si="1307">AG1161+AA1161</f>
        <v>1871197</v>
      </c>
      <c r="AI1161" s="217">
        <v>1811877</v>
      </c>
      <c r="AJ1161" s="764">
        <f>AI1161/AH1161*100</f>
        <v>96.829836730178599</v>
      </c>
    </row>
    <row r="1162" spans="1:36" ht="8.5" customHeight="1">
      <c r="A1162" s="40"/>
      <c r="B1162" s="40"/>
      <c r="C1162" s="124"/>
      <c r="D1162" s="124"/>
      <c r="E1162" s="124"/>
      <c r="F1162" s="41"/>
      <c r="G1162" s="41"/>
      <c r="H1162" s="66"/>
      <c r="I1162" s="125"/>
      <c r="J1162" s="126"/>
      <c r="K1162" s="204"/>
      <c r="L1162" s="205"/>
      <c r="M1162" s="205"/>
      <c r="N1162" s="205"/>
      <c r="O1162" s="205"/>
      <c r="P1162" s="205"/>
      <c r="Q1162" s="205"/>
      <c r="R1162" s="205"/>
      <c r="S1162" s="205"/>
      <c r="T1162" s="205"/>
      <c r="U1162" s="205"/>
      <c r="V1162" s="205"/>
      <c r="W1162" s="205"/>
      <c r="X1162" s="205"/>
      <c r="Y1162" s="205"/>
      <c r="Z1162" s="205"/>
      <c r="AA1162" s="205"/>
      <c r="AB1162" s="205"/>
      <c r="AC1162" s="205"/>
      <c r="AD1162" s="205"/>
      <c r="AE1162" s="205"/>
      <c r="AF1162" s="205"/>
      <c r="AG1162" s="205"/>
      <c r="AH1162" s="205"/>
      <c r="AI1162" s="205"/>
      <c r="AJ1162" s="747"/>
    </row>
    <row r="1163" spans="1:36" ht="14">
      <c r="A1163" s="40"/>
      <c r="B1163" s="40"/>
      <c r="C1163" s="124"/>
      <c r="D1163" s="124"/>
      <c r="E1163" s="124"/>
      <c r="F1163" s="42"/>
      <c r="G1163" s="42"/>
      <c r="H1163" s="129"/>
      <c r="I1163" s="130" t="s">
        <v>37</v>
      </c>
      <c r="J1163" s="131">
        <f>SUM(J1161:J1162)</f>
        <v>12000000</v>
      </c>
      <c r="K1163" s="209"/>
      <c r="L1163" s="218">
        <f>SUM(L1161:L1162)</f>
        <v>0</v>
      </c>
      <c r="M1163" s="218">
        <f t="shared" ref="M1163:T1163" si="1308">SUM(M1161:M1162)</f>
        <v>1141535</v>
      </c>
      <c r="N1163" s="218">
        <f t="shared" si="1308"/>
        <v>0</v>
      </c>
      <c r="O1163" s="218">
        <f t="shared" si="1308"/>
        <v>0</v>
      </c>
      <c r="P1163" s="218">
        <f t="shared" si="1308"/>
        <v>0</v>
      </c>
      <c r="Q1163" s="218">
        <f t="shared" si="1308"/>
        <v>0</v>
      </c>
      <c r="R1163" s="218">
        <f t="shared" si="1308"/>
        <v>0</v>
      </c>
      <c r="S1163" s="218">
        <f t="shared" si="1308"/>
        <v>1141535</v>
      </c>
      <c r="T1163" s="218">
        <f t="shared" si="1308"/>
        <v>1141535</v>
      </c>
      <c r="U1163" s="218"/>
      <c r="V1163" s="218"/>
      <c r="W1163" s="218"/>
      <c r="X1163" s="218"/>
      <c r="Y1163" s="218"/>
      <c r="Z1163" s="218">
        <f t="shared" ref="Z1163:AA1163" si="1309">SUM(Z1161:Z1162)</f>
        <v>0</v>
      </c>
      <c r="AA1163" s="218">
        <f t="shared" si="1309"/>
        <v>1141535</v>
      </c>
      <c r="AB1163" s="218"/>
      <c r="AC1163" s="218"/>
      <c r="AD1163" s="218"/>
      <c r="AE1163" s="218">
        <f>SUM(AE1159:AE1162)</f>
        <v>2097354</v>
      </c>
      <c r="AF1163" s="218">
        <f t="shared" ref="AF1163:AI1163" si="1310">SUM(AF1159:AF1162)</f>
        <v>0</v>
      </c>
      <c r="AG1163" s="218">
        <f t="shared" si="1310"/>
        <v>2097354</v>
      </c>
      <c r="AH1163" s="218">
        <f t="shared" si="1310"/>
        <v>3238889</v>
      </c>
      <c r="AI1163" s="218">
        <f t="shared" si="1310"/>
        <v>2547795</v>
      </c>
      <c r="AJ1163" s="776">
        <f>AI1163/AH1163*100</f>
        <v>78.662621658229099</v>
      </c>
    </row>
    <row r="1164" spans="1:36" ht="13" customHeight="1">
      <c r="A1164" s="40"/>
      <c r="B1164" s="40"/>
      <c r="C1164" s="124"/>
      <c r="D1164" s="124"/>
      <c r="E1164" s="124"/>
      <c r="F1164" s="41"/>
      <c r="G1164" s="41"/>
      <c r="H1164" s="66"/>
      <c r="I1164" s="41"/>
      <c r="J1164" s="132"/>
      <c r="K1164" s="210"/>
      <c r="L1164" s="219"/>
      <c r="M1164" s="219"/>
      <c r="N1164" s="219"/>
      <c r="O1164" s="219"/>
      <c r="P1164" s="219"/>
      <c r="Q1164" s="219"/>
      <c r="R1164" s="219"/>
      <c r="S1164" s="219"/>
      <c r="T1164" s="219"/>
      <c r="U1164" s="219"/>
      <c r="V1164" s="219"/>
      <c r="W1164" s="219"/>
      <c r="X1164" s="219"/>
      <c r="Y1164" s="219"/>
      <c r="Z1164" s="219"/>
      <c r="AA1164" s="219"/>
      <c r="AB1164" s="219"/>
      <c r="AC1164" s="219"/>
      <c r="AD1164" s="219"/>
      <c r="AE1164" s="219"/>
      <c r="AF1164" s="219"/>
      <c r="AG1164" s="219"/>
      <c r="AH1164" s="219"/>
      <c r="AI1164" s="219"/>
      <c r="AJ1164" s="777"/>
    </row>
    <row r="1165" spans="1:36" ht="28.5" customHeight="1">
      <c r="A1165" s="40">
        <v>65</v>
      </c>
      <c r="B1165" s="40"/>
      <c r="C1165" s="124"/>
      <c r="D1165" s="124"/>
      <c r="E1165" s="124"/>
      <c r="F1165" s="954" t="s">
        <v>553</v>
      </c>
      <c r="G1165" s="935"/>
      <c r="H1165" s="935"/>
      <c r="I1165" s="936"/>
      <c r="J1165" s="132"/>
      <c r="K1165" s="210"/>
      <c r="L1165" s="219"/>
      <c r="M1165" s="219"/>
      <c r="N1165" s="219"/>
      <c r="O1165" s="219"/>
      <c r="P1165" s="219"/>
      <c r="Q1165" s="219"/>
      <c r="R1165" s="219"/>
      <c r="S1165" s="219"/>
      <c r="T1165" s="219"/>
      <c r="U1165" s="219"/>
      <c r="V1165" s="219"/>
      <c r="W1165" s="219"/>
      <c r="X1165" s="219"/>
      <c r="Y1165" s="219"/>
      <c r="Z1165" s="219"/>
      <c r="AA1165" s="219"/>
      <c r="AB1165" s="219"/>
      <c r="AC1165" s="219"/>
      <c r="AD1165" s="219"/>
      <c r="AE1165" s="219"/>
      <c r="AF1165" s="219"/>
      <c r="AG1165" s="219"/>
      <c r="AH1165" s="219"/>
      <c r="AI1165" s="219"/>
      <c r="AJ1165" s="777"/>
    </row>
    <row r="1166" spans="1:36" ht="14">
      <c r="A1166" s="40"/>
      <c r="B1166" s="40"/>
      <c r="C1166" s="124">
        <v>1</v>
      </c>
      <c r="D1166" s="124"/>
      <c r="E1166" s="124"/>
      <c r="F1166" s="41"/>
      <c r="G1166" s="41"/>
      <c r="H1166" s="66" t="s">
        <v>35</v>
      </c>
      <c r="I1166" s="125"/>
      <c r="J1166" s="126"/>
      <c r="K1166" s="204"/>
      <c r="L1166" s="205"/>
      <c r="M1166" s="205"/>
      <c r="N1166" s="205"/>
      <c r="O1166" s="205"/>
      <c r="P1166" s="205"/>
      <c r="Q1166" s="205"/>
      <c r="R1166" s="205"/>
      <c r="S1166" s="205"/>
      <c r="T1166" s="205"/>
      <c r="U1166" s="205"/>
      <c r="V1166" s="205"/>
      <c r="W1166" s="205"/>
      <c r="X1166" s="205"/>
      <c r="Y1166" s="205"/>
      <c r="Z1166" s="205"/>
      <c r="AA1166" s="205"/>
      <c r="AB1166" s="205"/>
      <c r="AC1166" s="205"/>
      <c r="AD1166" s="205"/>
      <c r="AE1166" s="205"/>
      <c r="AF1166" s="205"/>
      <c r="AG1166" s="205"/>
      <c r="AH1166" s="205"/>
      <c r="AI1166" s="205"/>
      <c r="AJ1166" s="747"/>
    </row>
    <row r="1167" spans="1:36" ht="14">
      <c r="A1167" s="40"/>
      <c r="B1167" s="40"/>
      <c r="C1167" s="124"/>
      <c r="D1167" s="465">
        <v>3</v>
      </c>
      <c r="E1167" s="465" t="s">
        <v>199</v>
      </c>
      <c r="F1167" s="125"/>
      <c r="G1167" s="481"/>
      <c r="H1167" s="125"/>
      <c r="I1167" s="66" t="s">
        <v>116</v>
      </c>
      <c r="J1167" s="128">
        <v>12000000</v>
      </c>
      <c r="K1167" s="204"/>
      <c r="L1167" s="217"/>
      <c r="M1167" s="217">
        <v>6840000</v>
      </c>
      <c r="N1167" s="217"/>
      <c r="O1167" s="217"/>
      <c r="P1167" s="217"/>
      <c r="Q1167" s="217">
        <v>-2052000</v>
      </c>
      <c r="R1167" s="217"/>
      <c r="S1167" s="217">
        <f t="shared" ref="S1167" si="1311">SUM(M1167:R1167)</f>
        <v>4788000</v>
      </c>
      <c r="T1167" s="217">
        <f t="shared" ref="T1167" si="1312">S1167+L1167</f>
        <v>4788000</v>
      </c>
      <c r="U1167" s="217"/>
      <c r="V1167" s="217"/>
      <c r="W1167" s="217"/>
      <c r="X1167" s="217"/>
      <c r="Y1167" s="217"/>
      <c r="Z1167" s="217">
        <f>SUM(U1167:Y1167)</f>
        <v>0</v>
      </c>
      <c r="AA1167" s="217">
        <f>Z1167+T1167</f>
        <v>4788000</v>
      </c>
      <c r="AB1167" s="217"/>
      <c r="AC1167" s="217"/>
      <c r="AD1167" s="217"/>
      <c r="AE1167" s="217"/>
      <c r="AF1167" s="217"/>
      <c r="AG1167" s="217">
        <f t="shared" ref="AG1167:AG1168" si="1313">SUM(AB1167:AF1167)</f>
        <v>0</v>
      </c>
      <c r="AH1167" s="217">
        <f t="shared" ref="AH1167:AH1168" si="1314">AG1167+AA1167</f>
        <v>4788000</v>
      </c>
      <c r="AI1167" s="217"/>
      <c r="AJ1167" s="764"/>
    </row>
    <row r="1168" spans="1:36" ht="14">
      <c r="A1168" s="160"/>
      <c r="B1168" s="160"/>
      <c r="C1168" s="161"/>
      <c r="D1168" s="505">
        <v>5</v>
      </c>
      <c r="E1168" s="505" t="s">
        <v>199</v>
      </c>
      <c r="F1168" s="125"/>
      <c r="G1168" s="481"/>
      <c r="H1168" s="125"/>
      <c r="I1168" s="125" t="s">
        <v>185</v>
      </c>
      <c r="J1168" s="217"/>
      <c r="K1168" s="467"/>
      <c r="L1168" s="217"/>
      <c r="M1168" s="217"/>
      <c r="N1168" s="217"/>
      <c r="O1168" s="217"/>
      <c r="P1168" s="217"/>
      <c r="Q1168" s="217">
        <v>2052000</v>
      </c>
      <c r="R1168" s="217"/>
      <c r="S1168" s="217">
        <f t="shared" ref="S1168" si="1315">SUM(M1168:R1168)</f>
        <v>2052000</v>
      </c>
      <c r="T1168" s="217">
        <f t="shared" ref="T1168" si="1316">S1168+L1168</f>
        <v>2052000</v>
      </c>
      <c r="U1168" s="217"/>
      <c r="V1168" s="217"/>
      <c r="W1168" s="217"/>
      <c r="X1168" s="217"/>
      <c r="Y1168" s="217"/>
      <c r="Z1168" s="217">
        <f>SUM(U1168:Y1168)</f>
        <v>0</v>
      </c>
      <c r="AA1168" s="217">
        <f>Z1168+T1168</f>
        <v>2052000</v>
      </c>
      <c r="AB1168" s="217"/>
      <c r="AC1168" s="217"/>
      <c r="AD1168" s="217"/>
      <c r="AE1168" s="217"/>
      <c r="AF1168" s="217"/>
      <c r="AG1168" s="217">
        <f t="shared" si="1313"/>
        <v>0</v>
      </c>
      <c r="AH1168" s="217">
        <f t="shared" si="1314"/>
        <v>2052000</v>
      </c>
      <c r="AI1168" s="217">
        <v>2052000</v>
      </c>
      <c r="AJ1168" s="764">
        <f t="shared" ref="AJ1168" si="1317">AI1168/AH1168*100</f>
        <v>100</v>
      </c>
    </row>
    <row r="1169" spans="1:36" ht="8" customHeight="1">
      <c r="A1169" s="40"/>
      <c r="B1169" s="40"/>
      <c r="C1169" s="124"/>
      <c r="D1169" s="124"/>
      <c r="E1169" s="124"/>
      <c r="F1169" s="41"/>
      <c r="G1169" s="41"/>
      <c r="H1169" s="66"/>
      <c r="I1169" s="125"/>
      <c r="J1169" s="126"/>
      <c r="K1169" s="204"/>
      <c r="L1169" s="205"/>
      <c r="M1169" s="205"/>
      <c r="N1169" s="205"/>
      <c r="O1169" s="205"/>
      <c r="P1169" s="205"/>
      <c r="Q1169" s="205"/>
      <c r="R1169" s="205"/>
      <c r="S1169" s="205"/>
      <c r="T1169" s="205"/>
      <c r="U1169" s="205"/>
      <c r="V1169" s="205"/>
      <c r="W1169" s="205"/>
      <c r="X1169" s="205"/>
      <c r="Y1169" s="205"/>
      <c r="Z1169" s="205"/>
      <c r="AA1169" s="205"/>
      <c r="AB1169" s="205"/>
      <c r="AC1169" s="205"/>
      <c r="AD1169" s="205"/>
      <c r="AE1169" s="205"/>
      <c r="AF1169" s="205"/>
      <c r="AG1169" s="205"/>
      <c r="AH1169" s="205"/>
      <c r="AI1169" s="205"/>
      <c r="AJ1169" s="747"/>
    </row>
    <row r="1170" spans="1:36" ht="14">
      <c r="A1170" s="40"/>
      <c r="B1170" s="40"/>
      <c r="C1170" s="124"/>
      <c r="D1170" s="124"/>
      <c r="E1170" s="124"/>
      <c r="F1170" s="42"/>
      <c r="G1170" s="42"/>
      <c r="H1170" s="129"/>
      <c r="I1170" s="130" t="s">
        <v>37</v>
      </c>
      <c r="J1170" s="131">
        <f>SUM(J1167:J1169)</f>
        <v>12000000</v>
      </c>
      <c r="K1170" s="209"/>
      <c r="L1170" s="218">
        <f>SUM(L1167:L1169)</f>
        <v>0</v>
      </c>
      <c r="M1170" s="218">
        <f t="shared" ref="M1170" si="1318">SUM(M1167:M1169)</f>
        <v>6840000</v>
      </c>
      <c r="N1170" s="508"/>
      <c r="O1170" s="508">
        <f>SUM(O1167:O1169)</f>
        <v>0</v>
      </c>
      <c r="P1170" s="508">
        <f t="shared" ref="P1170:T1170" si="1319">SUM(P1167:P1169)</f>
        <v>0</v>
      </c>
      <c r="Q1170" s="508">
        <f t="shared" si="1319"/>
        <v>0</v>
      </c>
      <c r="R1170" s="508">
        <f t="shared" si="1319"/>
        <v>0</v>
      </c>
      <c r="S1170" s="508">
        <f t="shared" si="1319"/>
        <v>6840000</v>
      </c>
      <c r="T1170" s="508">
        <f t="shared" si="1319"/>
        <v>6840000</v>
      </c>
      <c r="U1170" s="508"/>
      <c r="V1170" s="508"/>
      <c r="W1170" s="508"/>
      <c r="X1170" s="508"/>
      <c r="Y1170" s="508"/>
      <c r="Z1170" s="508">
        <f t="shared" ref="Z1170:AA1170" si="1320">SUM(Z1167:Z1169)</f>
        <v>0</v>
      </c>
      <c r="AA1170" s="508">
        <f t="shared" si="1320"/>
        <v>6840000</v>
      </c>
      <c r="AB1170" s="508"/>
      <c r="AC1170" s="508"/>
      <c r="AD1170" s="508"/>
      <c r="AE1170" s="508"/>
      <c r="AF1170" s="508"/>
      <c r="AG1170" s="508">
        <f t="shared" ref="AG1170:AI1170" si="1321">SUM(AG1167:AG1169)</f>
        <v>0</v>
      </c>
      <c r="AH1170" s="508">
        <f t="shared" si="1321"/>
        <v>6840000</v>
      </c>
      <c r="AI1170" s="508">
        <f t="shared" si="1321"/>
        <v>2052000</v>
      </c>
      <c r="AJ1170" s="776">
        <f>AI1170/AH1170*100</f>
        <v>30</v>
      </c>
    </row>
    <row r="1171" spans="1:36" ht="14">
      <c r="A1171" s="40"/>
      <c r="B1171" s="40"/>
      <c r="C1171" s="124"/>
      <c r="D1171" s="124"/>
      <c r="E1171" s="124"/>
      <c r="F1171" s="41"/>
      <c r="G1171" s="41"/>
      <c r="H1171" s="66"/>
      <c r="I1171" s="41"/>
      <c r="J1171" s="132"/>
      <c r="K1171" s="210"/>
      <c r="L1171" s="219"/>
      <c r="M1171" s="219"/>
      <c r="N1171" s="219"/>
      <c r="O1171" s="219"/>
      <c r="P1171" s="219"/>
      <c r="Q1171" s="219"/>
      <c r="R1171" s="219"/>
      <c r="S1171" s="219"/>
      <c r="T1171" s="219"/>
      <c r="U1171" s="219"/>
      <c r="V1171" s="219"/>
      <c r="W1171" s="219"/>
      <c r="X1171" s="219"/>
      <c r="Y1171" s="219"/>
      <c r="Z1171" s="219"/>
      <c r="AA1171" s="219"/>
      <c r="AB1171" s="219"/>
      <c r="AC1171" s="219"/>
      <c r="AD1171" s="219"/>
      <c r="AE1171" s="219"/>
      <c r="AF1171" s="219"/>
      <c r="AG1171" s="219"/>
      <c r="AH1171" s="219"/>
      <c r="AI1171" s="219"/>
      <c r="AJ1171" s="777"/>
    </row>
    <row r="1172" spans="1:36" ht="14">
      <c r="A1172" s="40">
        <v>66</v>
      </c>
      <c r="B1172" s="40"/>
      <c r="C1172" s="124"/>
      <c r="D1172" s="124"/>
      <c r="E1172" s="124"/>
      <c r="F1172" s="41" t="s">
        <v>554</v>
      </c>
      <c r="G1172" s="41"/>
      <c r="H1172" s="66"/>
      <c r="I1172" s="41"/>
      <c r="J1172" s="132"/>
      <c r="K1172" s="210"/>
      <c r="L1172" s="219"/>
      <c r="M1172" s="219"/>
      <c r="N1172" s="219"/>
      <c r="O1172" s="219"/>
      <c r="P1172" s="219"/>
      <c r="Q1172" s="219"/>
      <c r="R1172" s="219"/>
      <c r="S1172" s="219"/>
      <c r="T1172" s="219"/>
      <c r="U1172" s="219"/>
      <c r="V1172" s="219"/>
      <c r="W1172" s="219"/>
      <c r="X1172" s="219"/>
      <c r="Y1172" s="219"/>
      <c r="Z1172" s="219"/>
      <c r="AA1172" s="219"/>
      <c r="AB1172" s="219"/>
      <c r="AC1172" s="219"/>
      <c r="AD1172" s="219"/>
      <c r="AE1172" s="219"/>
      <c r="AF1172" s="219"/>
      <c r="AG1172" s="219"/>
      <c r="AH1172" s="219"/>
      <c r="AI1172" s="219"/>
      <c r="AJ1172" s="777"/>
    </row>
    <row r="1173" spans="1:36" ht="14">
      <c r="A1173" s="40"/>
      <c r="B1173" s="40">
        <v>1</v>
      </c>
      <c r="C1173" s="124"/>
      <c r="D1173" s="124"/>
      <c r="E1173" s="124"/>
      <c r="F1173" s="41"/>
      <c r="G1173" s="41" t="s">
        <v>555</v>
      </c>
      <c r="H1173" s="66"/>
      <c r="I1173" s="41"/>
      <c r="J1173" s="132"/>
      <c r="K1173" s="210"/>
      <c r="L1173" s="219"/>
      <c r="M1173" s="219"/>
      <c r="N1173" s="219"/>
      <c r="O1173" s="219"/>
      <c r="P1173" s="219"/>
      <c r="Q1173" s="219"/>
      <c r="R1173" s="219"/>
      <c r="S1173" s="219"/>
      <c r="T1173" s="219"/>
      <c r="U1173" s="219"/>
      <c r="V1173" s="219"/>
      <c r="W1173" s="219"/>
      <c r="X1173" s="219"/>
      <c r="Y1173" s="219"/>
      <c r="Z1173" s="219"/>
      <c r="AA1173" s="219"/>
      <c r="AB1173" s="219"/>
      <c r="AC1173" s="219"/>
      <c r="AD1173" s="219"/>
      <c r="AE1173" s="219"/>
      <c r="AF1173" s="219"/>
      <c r="AG1173" s="219"/>
      <c r="AH1173" s="219"/>
      <c r="AI1173" s="219"/>
      <c r="AJ1173" s="777"/>
    </row>
    <row r="1174" spans="1:36" ht="14">
      <c r="A1174" s="40"/>
      <c r="B1174" s="40"/>
      <c r="C1174" s="124">
        <v>1</v>
      </c>
      <c r="D1174" s="124"/>
      <c r="E1174" s="124"/>
      <c r="F1174" s="41"/>
      <c r="G1174" s="41"/>
      <c r="H1174" s="66" t="s">
        <v>35</v>
      </c>
      <c r="I1174" s="125"/>
      <c r="J1174" s="132"/>
      <c r="K1174" s="210"/>
      <c r="L1174" s="219"/>
      <c r="M1174" s="219"/>
      <c r="N1174" s="219"/>
      <c r="O1174" s="219"/>
      <c r="P1174" s="219"/>
      <c r="Q1174" s="219"/>
      <c r="R1174" s="219"/>
      <c r="S1174" s="219"/>
      <c r="T1174" s="219"/>
      <c r="U1174" s="219"/>
      <c r="V1174" s="219"/>
      <c r="W1174" s="219"/>
      <c r="X1174" s="219"/>
      <c r="Y1174" s="219"/>
      <c r="Z1174" s="219"/>
      <c r="AA1174" s="219"/>
      <c r="AB1174" s="219"/>
      <c r="AC1174" s="219"/>
      <c r="AD1174" s="219"/>
      <c r="AE1174" s="219"/>
      <c r="AF1174" s="219"/>
      <c r="AG1174" s="219"/>
      <c r="AH1174" s="219"/>
      <c r="AI1174" s="219"/>
      <c r="AJ1174" s="777"/>
    </row>
    <row r="1175" spans="1:36" ht="14">
      <c r="A1175" s="40"/>
      <c r="B1175" s="40"/>
      <c r="C1175" s="124"/>
      <c r="D1175" s="124">
        <v>5</v>
      </c>
      <c r="E1175" s="124" t="s">
        <v>198</v>
      </c>
      <c r="F1175" s="41"/>
      <c r="G1175" s="41"/>
      <c r="H1175" s="66"/>
      <c r="I1175" s="125" t="s">
        <v>185</v>
      </c>
      <c r="J1175" s="132"/>
      <c r="K1175" s="210"/>
      <c r="L1175" s="219"/>
      <c r="M1175" s="484">
        <v>102062</v>
      </c>
      <c r="N1175" s="484"/>
      <c r="O1175" s="484"/>
      <c r="P1175" s="484"/>
      <c r="Q1175" s="484"/>
      <c r="R1175" s="484"/>
      <c r="S1175" s="217">
        <f t="shared" ref="S1175" si="1322">SUM(M1175:R1175)</f>
        <v>102062</v>
      </c>
      <c r="T1175" s="217">
        <f t="shared" ref="T1175" si="1323">S1175+L1175</f>
        <v>102062</v>
      </c>
      <c r="U1175" s="484"/>
      <c r="V1175" s="484">
        <v>3504950</v>
      </c>
      <c r="W1175" s="484"/>
      <c r="X1175" s="484"/>
      <c r="Y1175" s="484"/>
      <c r="Z1175" s="217">
        <f>SUM(U1175:Y1175)</f>
        <v>3504950</v>
      </c>
      <c r="AA1175" s="217">
        <f>Z1175+T1175</f>
        <v>3607012</v>
      </c>
      <c r="AB1175" s="484"/>
      <c r="AC1175" s="484"/>
      <c r="AD1175" s="484"/>
      <c r="AE1175" s="484">
        <v>-1222356</v>
      </c>
      <c r="AF1175" s="484"/>
      <c r="AG1175" s="217">
        <f t="shared" ref="AG1175" si="1324">SUM(AB1175:AF1175)</f>
        <v>-1222356</v>
      </c>
      <c r="AH1175" s="217">
        <f t="shared" ref="AH1175" si="1325">AG1175+AA1175</f>
        <v>2384656</v>
      </c>
      <c r="AI1175" s="217">
        <v>1592283</v>
      </c>
      <c r="AJ1175" s="764">
        <f>AI1175/AH1175*100</f>
        <v>66.772020786226605</v>
      </c>
    </row>
    <row r="1176" spans="1:36" ht="14">
      <c r="A1176" s="40"/>
      <c r="B1176" s="40"/>
      <c r="C1176" s="124"/>
      <c r="D1176" s="124"/>
      <c r="E1176" s="124"/>
      <c r="F1176" s="41"/>
      <c r="G1176" s="41"/>
      <c r="H1176" s="66"/>
      <c r="I1176" s="41"/>
      <c r="J1176" s="132"/>
      <c r="K1176" s="210"/>
      <c r="L1176" s="219"/>
      <c r="M1176" s="219"/>
      <c r="N1176" s="219"/>
      <c r="O1176" s="219"/>
      <c r="P1176" s="219"/>
      <c r="Q1176" s="219"/>
      <c r="R1176" s="219"/>
      <c r="S1176" s="219"/>
      <c r="T1176" s="219"/>
      <c r="U1176" s="219"/>
      <c r="V1176" s="219"/>
      <c r="W1176" s="219"/>
      <c r="X1176" s="219"/>
      <c r="Y1176" s="219"/>
      <c r="Z1176" s="219"/>
      <c r="AA1176" s="219"/>
      <c r="AB1176" s="219"/>
      <c r="AC1176" s="219"/>
      <c r="AD1176" s="219"/>
      <c r="AE1176" s="219"/>
      <c r="AF1176" s="219"/>
      <c r="AG1176" s="219"/>
      <c r="AH1176" s="219"/>
      <c r="AI1176" s="219"/>
      <c r="AJ1176" s="777"/>
    </row>
    <row r="1177" spans="1:36" ht="13" customHeight="1">
      <c r="A1177" s="40"/>
      <c r="B1177" s="40"/>
      <c r="C1177" s="124"/>
      <c r="D1177" s="124"/>
      <c r="E1177" s="124"/>
      <c r="F1177" s="173"/>
      <c r="G1177" s="64"/>
      <c r="H1177" s="65"/>
      <c r="I1177" s="64" t="s">
        <v>38</v>
      </c>
      <c r="J1177" s="333">
        <f>SUM(J1173:J1176)</f>
        <v>0</v>
      </c>
      <c r="K1177" s="457"/>
      <c r="L1177" s="458">
        <f>SUM(L1172:L1176)</f>
        <v>0</v>
      </c>
      <c r="M1177" s="458">
        <f t="shared" ref="M1177" si="1326">SUM(M1172:M1176)</f>
        <v>102062</v>
      </c>
      <c r="N1177" s="333"/>
      <c r="O1177" s="333"/>
      <c r="P1177" s="333"/>
      <c r="Q1177" s="333"/>
      <c r="R1177" s="333"/>
      <c r="S1177" s="458">
        <f>SUM(S1175)</f>
        <v>102062</v>
      </c>
      <c r="T1177" s="458">
        <f>SUM(T1175)</f>
        <v>102062</v>
      </c>
      <c r="U1177" s="333"/>
      <c r="V1177" s="458">
        <f>SUM(V1175)</f>
        <v>3504950</v>
      </c>
      <c r="W1177" s="333"/>
      <c r="X1177" s="333"/>
      <c r="Y1177" s="333"/>
      <c r="Z1177" s="458">
        <f>SUM(Z1175)</f>
        <v>3504950</v>
      </c>
      <c r="AA1177" s="458">
        <f>SUM(AA1175)</f>
        <v>3607012</v>
      </c>
      <c r="AB1177" s="333"/>
      <c r="AC1177" s="458">
        <f>SUM(AC1175)</f>
        <v>0</v>
      </c>
      <c r="AD1177" s="333"/>
      <c r="AE1177" s="458">
        <f>SUM(AE1175)</f>
        <v>-1222356</v>
      </c>
      <c r="AF1177" s="333"/>
      <c r="AG1177" s="458">
        <f>SUM(AG1175)</f>
        <v>-1222356</v>
      </c>
      <c r="AH1177" s="458">
        <f>SUM(AH1175)</f>
        <v>2384656</v>
      </c>
      <c r="AI1177" s="458">
        <f>SUM(AI1175)</f>
        <v>1592283</v>
      </c>
      <c r="AJ1177" s="770">
        <f>AI1177/AH1177*100</f>
        <v>66.772020786226605</v>
      </c>
    </row>
    <row r="1178" spans="1:36" ht="14">
      <c r="A1178" s="40"/>
      <c r="B1178" s="40"/>
      <c r="C1178" s="124"/>
      <c r="D1178" s="124"/>
      <c r="E1178" s="124"/>
      <c r="F1178" s="41"/>
      <c r="G1178" s="41"/>
      <c r="H1178" s="66"/>
      <c r="I1178" s="41"/>
      <c r="J1178" s="132"/>
      <c r="K1178" s="210"/>
      <c r="L1178" s="219"/>
      <c r="M1178" s="219"/>
      <c r="N1178" s="219"/>
      <c r="O1178" s="219"/>
      <c r="P1178" s="219"/>
      <c r="Q1178" s="219"/>
      <c r="R1178" s="219"/>
      <c r="S1178" s="219"/>
      <c r="T1178" s="219"/>
      <c r="U1178" s="219"/>
      <c r="V1178" s="219"/>
      <c r="W1178" s="219"/>
      <c r="X1178" s="219"/>
      <c r="Y1178" s="219"/>
      <c r="Z1178" s="219"/>
      <c r="AA1178" s="219"/>
      <c r="AB1178" s="219"/>
      <c r="AC1178" s="219"/>
      <c r="AD1178" s="219"/>
      <c r="AE1178" s="219"/>
      <c r="AF1178" s="219"/>
      <c r="AG1178" s="219"/>
      <c r="AH1178" s="219"/>
      <c r="AI1178" s="219"/>
      <c r="AJ1178" s="777"/>
    </row>
    <row r="1179" spans="1:36" ht="14">
      <c r="A1179" s="40"/>
      <c r="B1179" s="40">
        <v>2</v>
      </c>
      <c r="C1179" s="124"/>
      <c r="D1179" s="124"/>
      <c r="E1179" s="124"/>
      <c r="F1179" s="41"/>
      <c r="G1179" s="41" t="s">
        <v>556</v>
      </c>
      <c r="H1179" s="66"/>
      <c r="I1179" s="41"/>
      <c r="J1179" s="132"/>
      <c r="K1179" s="210"/>
      <c r="L1179" s="219"/>
      <c r="M1179" s="219"/>
      <c r="N1179" s="219"/>
      <c r="O1179" s="219"/>
      <c r="P1179" s="219"/>
      <c r="Q1179" s="219"/>
      <c r="R1179" s="219"/>
      <c r="S1179" s="219"/>
      <c r="T1179" s="219"/>
      <c r="U1179" s="219"/>
      <c r="V1179" s="219"/>
      <c r="W1179" s="219"/>
      <c r="X1179" s="219"/>
      <c r="Y1179" s="219"/>
      <c r="Z1179" s="219"/>
      <c r="AA1179" s="219"/>
      <c r="AB1179" s="219"/>
      <c r="AC1179" s="219"/>
      <c r="AD1179" s="219"/>
      <c r="AE1179" s="219"/>
      <c r="AF1179" s="219"/>
      <c r="AG1179" s="219"/>
      <c r="AH1179" s="219"/>
      <c r="AI1179" s="219"/>
      <c r="AJ1179" s="777"/>
    </row>
    <row r="1180" spans="1:36" ht="14">
      <c r="A1180" s="40"/>
      <c r="B1180" s="40"/>
      <c r="C1180" s="124">
        <v>1</v>
      </c>
      <c r="D1180" s="124"/>
      <c r="E1180" s="124"/>
      <c r="F1180" s="41"/>
      <c r="G1180" s="41"/>
      <c r="H1180" s="66" t="s">
        <v>35</v>
      </c>
      <c r="I1180" s="125"/>
      <c r="J1180" s="132"/>
      <c r="K1180" s="210"/>
      <c r="L1180" s="219"/>
      <c r="M1180" s="219"/>
      <c r="N1180" s="219"/>
      <c r="O1180" s="219"/>
      <c r="P1180" s="219"/>
      <c r="Q1180" s="219"/>
      <c r="R1180" s="219"/>
      <c r="S1180" s="219"/>
      <c r="T1180" s="219"/>
      <c r="U1180" s="219"/>
      <c r="V1180" s="219"/>
      <c r="W1180" s="219"/>
      <c r="X1180" s="219"/>
      <c r="Y1180" s="219"/>
      <c r="Z1180" s="219"/>
      <c r="AA1180" s="219"/>
      <c r="AB1180" s="219"/>
      <c r="AC1180" s="219"/>
      <c r="AD1180" s="219"/>
      <c r="AE1180" s="219"/>
      <c r="AF1180" s="219"/>
      <c r="AG1180" s="219"/>
      <c r="AH1180" s="219"/>
      <c r="AI1180" s="219"/>
      <c r="AJ1180" s="777"/>
    </row>
    <row r="1181" spans="1:36" ht="14">
      <c r="A1181" s="40"/>
      <c r="B1181" s="40"/>
      <c r="C1181" s="124"/>
      <c r="D1181" s="124">
        <v>5</v>
      </c>
      <c r="E1181" s="124" t="s">
        <v>198</v>
      </c>
      <c r="F1181" s="41"/>
      <c r="G1181" s="41"/>
      <c r="H1181" s="66"/>
      <c r="I1181" s="125" t="s">
        <v>185</v>
      </c>
      <c r="J1181" s="132"/>
      <c r="K1181" s="210"/>
      <c r="L1181" s="219"/>
      <c r="M1181" s="484">
        <v>13050</v>
      </c>
      <c r="N1181" s="484"/>
      <c r="O1181" s="484"/>
      <c r="P1181" s="484"/>
      <c r="Q1181" s="484"/>
      <c r="R1181" s="484"/>
      <c r="S1181" s="217">
        <f t="shared" ref="S1181" si="1327">SUM(M1181:R1181)</f>
        <v>13050</v>
      </c>
      <c r="T1181" s="217">
        <f t="shared" ref="T1181" si="1328">S1181+L1181</f>
        <v>13050</v>
      </c>
      <c r="U1181" s="484"/>
      <c r="V1181" s="484">
        <v>4525450</v>
      </c>
      <c r="W1181" s="484"/>
      <c r="X1181" s="484"/>
      <c r="Y1181" s="484"/>
      <c r="Z1181" s="217">
        <f>SUM(U1181:Y1181)</f>
        <v>4525450</v>
      </c>
      <c r="AA1181" s="217">
        <f>Z1181+T1181</f>
        <v>4538500</v>
      </c>
      <c r="AB1181" s="484"/>
      <c r="AC1181" s="484"/>
      <c r="AD1181" s="484"/>
      <c r="AE1181" s="484">
        <v>-762052</v>
      </c>
      <c r="AF1181" s="484"/>
      <c r="AG1181" s="217">
        <f t="shared" ref="AG1181" si="1329">SUM(AB1181:AF1181)</f>
        <v>-762052</v>
      </c>
      <c r="AH1181" s="217">
        <f t="shared" ref="AH1181" si="1330">AG1181+AA1181</f>
        <v>3776448</v>
      </c>
      <c r="AI1181" s="217">
        <v>3752402</v>
      </c>
      <c r="AJ1181" s="764">
        <f>AI1181/AH1181*100</f>
        <v>99.363264104258818</v>
      </c>
    </row>
    <row r="1182" spans="1:36" ht="14">
      <c r="A1182" s="40"/>
      <c r="B1182" s="40"/>
      <c r="C1182" s="124"/>
      <c r="D1182" s="124"/>
      <c r="E1182" s="124"/>
      <c r="F1182" s="41"/>
      <c r="G1182" s="41"/>
      <c r="H1182" s="66"/>
      <c r="I1182" s="41"/>
      <c r="J1182" s="132"/>
      <c r="K1182" s="210"/>
      <c r="L1182" s="219"/>
      <c r="M1182" s="219"/>
      <c r="N1182" s="219"/>
      <c r="O1182" s="219"/>
      <c r="P1182" s="219"/>
      <c r="Q1182" s="219"/>
      <c r="R1182" s="219"/>
      <c r="S1182" s="219"/>
      <c r="T1182" s="219"/>
      <c r="U1182" s="219"/>
      <c r="V1182" s="219"/>
      <c r="W1182" s="219"/>
      <c r="X1182" s="219"/>
      <c r="Y1182" s="219"/>
      <c r="Z1182" s="219"/>
      <c r="AA1182" s="219"/>
      <c r="AB1182" s="219"/>
      <c r="AC1182" s="219"/>
      <c r="AD1182" s="219"/>
      <c r="AE1182" s="219"/>
      <c r="AF1182" s="219"/>
      <c r="AG1182" s="219"/>
      <c r="AH1182" s="219"/>
      <c r="AI1182" s="219"/>
      <c r="AJ1182" s="777"/>
    </row>
    <row r="1183" spans="1:36" ht="14">
      <c r="A1183" s="40"/>
      <c r="B1183" s="40"/>
      <c r="C1183" s="124"/>
      <c r="D1183" s="124"/>
      <c r="E1183" s="124"/>
      <c r="F1183" s="173"/>
      <c r="G1183" s="64"/>
      <c r="H1183" s="65"/>
      <c r="I1183" s="64" t="s">
        <v>38</v>
      </c>
      <c r="J1183" s="333">
        <f>SUM(J1179:J1182)</f>
        <v>0</v>
      </c>
      <c r="K1183" s="457"/>
      <c r="L1183" s="458">
        <f>SUM(L1178:L1182)</f>
        <v>0</v>
      </c>
      <c r="M1183" s="458">
        <f t="shared" ref="M1183" si="1331">SUM(M1178:M1182)</f>
        <v>13050</v>
      </c>
      <c r="N1183" s="333"/>
      <c r="O1183" s="333"/>
      <c r="P1183" s="333"/>
      <c r="Q1183" s="333"/>
      <c r="R1183" s="333"/>
      <c r="S1183" s="458">
        <f>SUM(S1181)</f>
        <v>13050</v>
      </c>
      <c r="T1183" s="458">
        <f>SUM(T1181)</f>
        <v>13050</v>
      </c>
      <c r="U1183" s="333"/>
      <c r="V1183" s="458">
        <f>SUM(V1181)</f>
        <v>4525450</v>
      </c>
      <c r="W1183" s="333"/>
      <c r="X1183" s="333"/>
      <c r="Y1183" s="333"/>
      <c r="Z1183" s="458">
        <f>SUM(Z1181)</f>
        <v>4525450</v>
      </c>
      <c r="AA1183" s="458">
        <f>SUM(AA1181)</f>
        <v>4538500</v>
      </c>
      <c r="AB1183" s="333"/>
      <c r="AC1183" s="458">
        <f>SUM(AC1181)</f>
        <v>0</v>
      </c>
      <c r="AD1183" s="333"/>
      <c r="AE1183" s="458">
        <f>SUM(AE1181)</f>
        <v>-762052</v>
      </c>
      <c r="AF1183" s="333"/>
      <c r="AG1183" s="458">
        <f>SUM(AG1181)</f>
        <v>-762052</v>
      </c>
      <c r="AH1183" s="458">
        <f>SUM(AH1181)</f>
        <v>3776448</v>
      </c>
      <c r="AI1183" s="458">
        <f>SUM(AI1181)</f>
        <v>3752402</v>
      </c>
      <c r="AJ1183" s="770">
        <f>AI1183/AH1183*100</f>
        <v>99.363264104258818</v>
      </c>
    </row>
    <row r="1184" spans="1:36" ht="14">
      <c r="A1184" s="40"/>
      <c r="B1184" s="40"/>
      <c r="C1184" s="124"/>
      <c r="D1184" s="124"/>
      <c r="E1184" s="124"/>
      <c r="F1184" s="41"/>
      <c r="G1184" s="41"/>
      <c r="H1184" s="66"/>
      <c r="I1184" s="41"/>
      <c r="J1184" s="132"/>
      <c r="K1184" s="210"/>
      <c r="L1184" s="219"/>
      <c r="M1184" s="219"/>
      <c r="N1184" s="219"/>
      <c r="O1184" s="219"/>
      <c r="P1184" s="219"/>
      <c r="Q1184" s="219"/>
      <c r="R1184" s="219"/>
      <c r="S1184" s="219"/>
      <c r="T1184" s="219"/>
      <c r="U1184" s="219"/>
      <c r="V1184" s="219"/>
      <c r="W1184" s="219"/>
      <c r="X1184" s="219"/>
      <c r="Y1184" s="219"/>
      <c r="Z1184" s="219"/>
      <c r="AA1184" s="219"/>
      <c r="AB1184" s="219"/>
      <c r="AC1184" s="219"/>
      <c r="AD1184" s="219"/>
      <c r="AE1184" s="219"/>
      <c r="AF1184" s="219"/>
      <c r="AG1184" s="219"/>
      <c r="AH1184" s="219"/>
      <c r="AI1184" s="219"/>
      <c r="AJ1184" s="777"/>
    </row>
    <row r="1185" spans="1:36" ht="14">
      <c r="A1185" s="40"/>
      <c r="B1185" s="40"/>
      <c r="C1185" s="124"/>
      <c r="D1185" s="124"/>
      <c r="E1185" s="124"/>
      <c r="F1185" s="42"/>
      <c r="G1185" s="42"/>
      <c r="H1185" s="129"/>
      <c r="I1185" s="130" t="s">
        <v>37</v>
      </c>
      <c r="J1185" s="131">
        <f>SUM(J1183:J1184)</f>
        <v>0</v>
      </c>
      <c r="K1185" s="209"/>
      <c r="L1185" s="218">
        <f>SUM(L1183:L1184)</f>
        <v>0</v>
      </c>
      <c r="M1185" s="218">
        <f>SUM(M1172:M1183)/2</f>
        <v>115112</v>
      </c>
      <c r="N1185" s="218">
        <f t="shared" ref="N1185:T1185" si="1332">SUM(N1172:N1183)/2</f>
        <v>0</v>
      </c>
      <c r="O1185" s="218">
        <f t="shared" si="1332"/>
        <v>0</v>
      </c>
      <c r="P1185" s="218">
        <f t="shared" si="1332"/>
        <v>0</v>
      </c>
      <c r="Q1185" s="218">
        <f t="shared" si="1332"/>
        <v>0</v>
      </c>
      <c r="R1185" s="218">
        <f t="shared" si="1332"/>
        <v>0</v>
      </c>
      <c r="S1185" s="218">
        <f t="shared" si="1332"/>
        <v>115112</v>
      </c>
      <c r="T1185" s="218">
        <f t="shared" si="1332"/>
        <v>115112</v>
      </c>
      <c r="U1185" s="218"/>
      <c r="V1185" s="218">
        <f t="shared" ref="V1185" si="1333">SUM(V1172:V1183)/2</f>
        <v>8030400</v>
      </c>
      <c r="W1185" s="218"/>
      <c r="X1185" s="218"/>
      <c r="Y1185" s="218"/>
      <c r="Z1185" s="218">
        <f t="shared" ref="Z1185:AA1185" si="1334">SUM(Z1172:Z1183)/2</f>
        <v>8030400</v>
      </c>
      <c r="AA1185" s="218">
        <f t="shared" si="1334"/>
        <v>8145512</v>
      </c>
      <c r="AB1185" s="218"/>
      <c r="AC1185" s="218">
        <f t="shared" ref="AC1185" si="1335">SUM(AC1172:AC1183)/2</f>
        <v>0</v>
      </c>
      <c r="AD1185" s="218"/>
      <c r="AE1185" s="218">
        <f t="shared" ref="AE1185" si="1336">SUM(AE1172:AE1183)/2</f>
        <v>-1984408</v>
      </c>
      <c r="AF1185" s="218"/>
      <c r="AG1185" s="218">
        <f t="shared" ref="AG1185:AH1185" si="1337">SUM(AG1172:AG1183)/2</f>
        <v>-1984408</v>
      </c>
      <c r="AH1185" s="218">
        <f t="shared" si="1337"/>
        <v>6161104</v>
      </c>
      <c r="AI1185" s="218">
        <f t="shared" ref="AI1185" si="1338">SUM(AI1172:AI1183)/2</f>
        <v>5344685</v>
      </c>
      <c r="AJ1185" s="776">
        <f>AI1185/AH1185*100</f>
        <v>86.748819692055193</v>
      </c>
    </row>
    <row r="1186" spans="1:36" ht="14">
      <c r="A1186" s="40"/>
      <c r="B1186" s="40"/>
      <c r="C1186" s="124"/>
      <c r="D1186" s="124"/>
      <c r="E1186" s="124"/>
      <c r="F1186" s="41"/>
      <c r="G1186" s="41"/>
      <c r="H1186" s="66"/>
      <c r="I1186" s="41"/>
      <c r="J1186" s="132"/>
      <c r="K1186" s="210"/>
      <c r="L1186" s="219"/>
      <c r="M1186" s="219"/>
      <c r="N1186" s="219"/>
      <c r="O1186" s="219"/>
      <c r="P1186" s="219"/>
      <c r="Q1186" s="219"/>
      <c r="R1186" s="219"/>
      <c r="S1186" s="219"/>
      <c r="T1186" s="219"/>
      <c r="U1186" s="219"/>
      <c r="V1186" s="219"/>
      <c r="W1186" s="219"/>
      <c r="X1186" s="219"/>
      <c r="Y1186" s="219"/>
      <c r="Z1186" s="219"/>
      <c r="AA1186" s="219"/>
      <c r="AB1186" s="219"/>
      <c r="AC1186" s="219"/>
      <c r="AD1186" s="219"/>
      <c r="AE1186" s="219"/>
      <c r="AF1186" s="219"/>
      <c r="AG1186" s="219"/>
      <c r="AH1186" s="219"/>
      <c r="AI1186" s="219"/>
      <c r="AJ1186" s="777"/>
    </row>
    <row r="1187" spans="1:36" ht="14">
      <c r="A1187" s="40">
        <v>67</v>
      </c>
      <c r="B1187" s="40"/>
      <c r="C1187" s="124"/>
      <c r="D1187" s="124"/>
      <c r="E1187" s="124"/>
      <c r="F1187" s="41" t="s">
        <v>557</v>
      </c>
      <c r="G1187" s="41"/>
      <c r="H1187" s="66"/>
      <c r="I1187" s="41"/>
      <c r="J1187" s="132"/>
      <c r="K1187" s="210"/>
      <c r="L1187" s="219"/>
      <c r="M1187" s="219"/>
      <c r="N1187" s="219"/>
      <c r="O1187" s="219"/>
      <c r="P1187" s="219"/>
      <c r="Q1187" s="219"/>
      <c r="R1187" s="219"/>
      <c r="S1187" s="219"/>
      <c r="T1187" s="219"/>
      <c r="U1187" s="219"/>
      <c r="V1187" s="219"/>
      <c r="W1187" s="219"/>
      <c r="X1187" s="219"/>
      <c r="Y1187" s="219"/>
      <c r="Z1187" s="219"/>
      <c r="AA1187" s="219"/>
      <c r="AB1187" s="219"/>
      <c r="AC1187" s="219"/>
      <c r="AD1187" s="219"/>
      <c r="AE1187" s="219"/>
      <c r="AF1187" s="219"/>
      <c r="AG1187" s="219"/>
      <c r="AH1187" s="219"/>
      <c r="AI1187" s="219"/>
      <c r="AJ1187" s="777"/>
    </row>
    <row r="1188" spans="1:36" ht="14">
      <c r="A1188" s="40"/>
      <c r="B1188" s="40"/>
      <c r="C1188" s="124">
        <v>1</v>
      </c>
      <c r="D1188" s="124"/>
      <c r="E1188" s="124"/>
      <c r="F1188" s="41"/>
      <c r="G1188" s="41"/>
      <c r="H1188" s="66" t="s">
        <v>35</v>
      </c>
      <c r="I1188" s="125"/>
      <c r="J1188" s="126"/>
      <c r="K1188" s="204"/>
      <c r="L1188" s="205"/>
      <c r="M1188" s="205"/>
      <c r="N1188" s="205"/>
      <c r="O1188" s="205"/>
      <c r="P1188" s="205"/>
      <c r="Q1188" s="205"/>
      <c r="R1188" s="205"/>
      <c r="S1188" s="205"/>
      <c r="T1188" s="205"/>
      <c r="U1188" s="205"/>
      <c r="V1188" s="205"/>
      <c r="W1188" s="205"/>
      <c r="X1188" s="205"/>
      <c r="Y1188" s="205"/>
      <c r="Z1188" s="205"/>
      <c r="AA1188" s="205"/>
      <c r="AB1188" s="205"/>
      <c r="AC1188" s="205"/>
      <c r="AD1188" s="205"/>
      <c r="AE1188" s="205"/>
      <c r="AF1188" s="205"/>
      <c r="AG1188" s="205"/>
      <c r="AH1188" s="205"/>
      <c r="AI1188" s="205"/>
      <c r="AJ1188" s="747"/>
    </row>
    <row r="1189" spans="1:36" ht="14">
      <c r="A1189" s="40"/>
      <c r="B1189" s="40"/>
      <c r="C1189" s="124"/>
      <c r="D1189" s="124">
        <v>5</v>
      </c>
      <c r="E1189" s="124" t="s">
        <v>198</v>
      </c>
      <c r="F1189" s="41"/>
      <c r="G1189" s="41"/>
      <c r="H1189" s="66"/>
      <c r="I1189" s="125" t="s">
        <v>185</v>
      </c>
      <c r="J1189" s="128">
        <v>1000000</v>
      </c>
      <c r="K1189" s="204"/>
      <c r="L1189" s="217"/>
      <c r="M1189" s="217">
        <v>3000000</v>
      </c>
      <c r="N1189" s="217"/>
      <c r="O1189" s="217"/>
      <c r="P1189" s="217"/>
      <c r="Q1189" s="217"/>
      <c r="R1189" s="217"/>
      <c r="S1189" s="217">
        <f t="shared" ref="S1189" si="1339">SUM(M1189:R1189)</f>
        <v>3000000</v>
      </c>
      <c r="T1189" s="217">
        <f t="shared" ref="T1189" si="1340">S1189+L1189</f>
        <v>3000000</v>
      </c>
      <c r="U1189" s="217"/>
      <c r="V1189" s="217"/>
      <c r="W1189" s="217"/>
      <c r="X1189" s="217"/>
      <c r="Y1189" s="217"/>
      <c r="Z1189" s="217">
        <f>SUM(U1189:Y1189)</f>
        <v>0</v>
      </c>
      <c r="AA1189" s="217">
        <f>Z1189+T1189</f>
        <v>3000000</v>
      </c>
      <c r="AB1189" s="217"/>
      <c r="AC1189" s="217"/>
      <c r="AD1189" s="217"/>
      <c r="AE1189" s="217"/>
      <c r="AF1189" s="217"/>
      <c r="AG1189" s="217">
        <f t="shared" ref="AG1189" si="1341">SUM(AB1189:AF1189)</f>
        <v>0</v>
      </c>
      <c r="AH1189" s="217">
        <f t="shared" ref="AH1189" si="1342">AG1189+AA1189</f>
        <v>3000000</v>
      </c>
      <c r="AI1189" s="217">
        <v>3000000</v>
      </c>
      <c r="AJ1189" s="764">
        <f>AI1189/AH1189*100</f>
        <v>100</v>
      </c>
    </row>
    <row r="1190" spans="1:36" ht="14">
      <c r="A1190" s="40"/>
      <c r="B1190" s="40"/>
      <c r="C1190" s="124"/>
      <c r="D1190" s="124"/>
      <c r="E1190" s="124"/>
      <c r="F1190" s="41"/>
      <c r="G1190" s="41"/>
      <c r="H1190" s="66"/>
      <c r="I1190" s="125"/>
      <c r="J1190" s="126"/>
      <c r="K1190" s="204"/>
      <c r="L1190" s="205"/>
      <c r="M1190" s="205"/>
      <c r="N1190" s="205"/>
      <c r="O1190" s="205"/>
      <c r="P1190" s="205"/>
      <c r="Q1190" s="205"/>
      <c r="R1190" s="205"/>
      <c r="S1190" s="205"/>
      <c r="T1190" s="205"/>
      <c r="U1190" s="205"/>
      <c r="V1190" s="205"/>
      <c r="W1190" s="205"/>
      <c r="X1190" s="205"/>
      <c r="Y1190" s="205"/>
      <c r="Z1190" s="205"/>
      <c r="AA1190" s="205"/>
      <c r="AB1190" s="205"/>
      <c r="AC1190" s="205"/>
      <c r="AD1190" s="205"/>
      <c r="AE1190" s="205"/>
      <c r="AF1190" s="205"/>
      <c r="AG1190" s="205"/>
      <c r="AH1190" s="205"/>
      <c r="AI1190" s="205"/>
      <c r="AJ1190" s="747"/>
    </row>
    <row r="1191" spans="1:36" ht="14">
      <c r="A1191" s="40"/>
      <c r="B1191" s="40"/>
      <c r="C1191" s="124"/>
      <c r="D1191" s="124"/>
      <c r="E1191" s="124"/>
      <c r="F1191" s="42"/>
      <c r="G1191" s="42"/>
      <c r="H1191" s="129"/>
      <c r="I1191" s="130" t="s">
        <v>37</v>
      </c>
      <c r="J1191" s="131">
        <f>SUM(J1189:J1190)</f>
        <v>1000000</v>
      </c>
      <c r="K1191" s="209"/>
      <c r="L1191" s="218"/>
      <c r="M1191" s="218">
        <f t="shared" ref="M1191:T1191" si="1343">SUM(M1189:M1190)</f>
        <v>3000000</v>
      </c>
      <c r="N1191" s="218">
        <f t="shared" si="1343"/>
        <v>0</v>
      </c>
      <c r="O1191" s="218">
        <f t="shared" si="1343"/>
        <v>0</v>
      </c>
      <c r="P1191" s="218">
        <f t="shared" si="1343"/>
        <v>0</v>
      </c>
      <c r="Q1191" s="218">
        <f t="shared" si="1343"/>
        <v>0</v>
      </c>
      <c r="R1191" s="218">
        <f t="shared" si="1343"/>
        <v>0</v>
      </c>
      <c r="S1191" s="218">
        <f t="shared" si="1343"/>
        <v>3000000</v>
      </c>
      <c r="T1191" s="218">
        <f t="shared" si="1343"/>
        <v>3000000</v>
      </c>
      <c r="U1191" s="218"/>
      <c r="V1191" s="218"/>
      <c r="W1191" s="218"/>
      <c r="X1191" s="218"/>
      <c r="Y1191" s="218"/>
      <c r="Z1191" s="218">
        <f t="shared" ref="Z1191:AA1191" si="1344">SUM(Z1189:Z1190)</f>
        <v>0</v>
      </c>
      <c r="AA1191" s="218">
        <f t="shared" si="1344"/>
        <v>3000000</v>
      </c>
      <c r="AB1191" s="218"/>
      <c r="AC1191" s="218"/>
      <c r="AD1191" s="218"/>
      <c r="AE1191" s="218"/>
      <c r="AF1191" s="218"/>
      <c r="AG1191" s="218">
        <f t="shared" ref="AG1191:AI1191" si="1345">SUM(AG1189:AG1190)</f>
        <v>0</v>
      </c>
      <c r="AH1191" s="218">
        <f t="shared" si="1345"/>
        <v>3000000</v>
      </c>
      <c r="AI1191" s="218">
        <f t="shared" si="1345"/>
        <v>3000000</v>
      </c>
      <c r="AJ1191" s="776">
        <f>AI1191/AH1191*100</f>
        <v>100</v>
      </c>
    </row>
    <row r="1192" spans="1:36" ht="14">
      <c r="A1192" s="40"/>
      <c r="B1192" s="40"/>
      <c r="C1192" s="124"/>
      <c r="D1192" s="124"/>
      <c r="E1192" s="124"/>
      <c r="F1192" s="41"/>
      <c r="G1192" s="41"/>
      <c r="H1192" s="66"/>
      <c r="I1192" s="41"/>
      <c r="J1192" s="132"/>
      <c r="K1192" s="210"/>
      <c r="L1192" s="219"/>
      <c r="M1192" s="219"/>
      <c r="N1192" s="219"/>
      <c r="O1192" s="219"/>
      <c r="P1192" s="219"/>
      <c r="Q1192" s="219"/>
      <c r="R1192" s="219"/>
      <c r="S1192" s="219"/>
      <c r="T1192" s="219"/>
      <c r="U1192" s="219"/>
      <c r="V1192" s="219"/>
      <c r="W1192" s="219"/>
      <c r="X1192" s="219"/>
      <c r="Y1192" s="219"/>
      <c r="Z1192" s="219"/>
      <c r="AA1192" s="219"/>
      <c r="AB1192" s="219"/>
      <c r="AC1192" s="219"/>
      <c r="AD1192" s="219"/>
      <c r="AE1192" s="219"/>
      <c r="AF1192" s="219"/>
      <c r="AG1192" s="219"/>
      <c r="AH1192" s="219"/>
      <c r="AI1192" s="219"/>
      <c r="AJ1192" s="777"/>
    </row>
    <row r="1193" spans="1:36" ht="14">
      <c r="A1193" s="40">
        <v>68</v>
      </c>
      <c r="B1193" s="40"/>
      <c r="C1193" s="124"/>
      <c r="D1193" s="124"/>
      <c r="E1193" s="124"/>
      <c r="F1193" s="41" t="s">
        <v>648</v>
      </c>
      <c r="G1193" s="41"/>
      <c r="H1193" s="66"/>
      <c r="I1193" s="41"/>
      <c r="J1193" s="132"/>
      <c r="K1193" s="210"/>
      <c r="L1193" s="219"/>
      <c r="M1193" s="219"/>
      <c r="N1193" s="219"/>
      <c r="O1193" s="219"/>
      <c r="P1193" s="219"/>
      <c r="Q1193" s="219"/>
      <c r="R1193" s="219"/>
      <c r="S1193" s="219"/>
      <c r="T1193" s="219"/>
      <c r="U1193" s="219"/>
      <c r="V1193" s="219"/>
      <c r="W1193" s="219"/>
      <c r="X1193" s="219"/>
      <c r="Y1193" s="219"/>
      <c r="Z1193" s="219"/>
      <c r="AA1193" s="219"/>
      <c r="AB1193" s="219"/>
      <c r="AC1193" s="219"/>
      <c r="AD1193" s="219"/>
      <c r="AE1193" s="219"/>
      <c r="AF1193" s="219"/>
      <c r="AG1193" s="219"/>
      <c r="AH1193" s="219"/>
      <c r="AI1193" s="219"/>
      <c r="AJ1193" s="777"/>
    </row>
    <row r="1194" spans="1:36" ht="14">
      <c r="A1194" s="40"/>
      <c r="B1194" s="40"/>
      <c r="C1194" s="124">
        <v>1</v>
      </c>
      <c r="D1194" s="124"/>
      <c r="E1194" s="124"/>
      <c r="F1194" s="41"/>
      <c r="G1194" s="41"/>
      <c r="H1194" s="66" t="s">
        <v>35</v>
      </c>
      <c r="I1194" s="125"/>
      <c r="J1194" s="126"/>
      <c r="K1194" s="204"/>
      <c r="L1194" s="205"/>
      <c r="M1194" s="205"/>
      <c r="N1194" s="205"/>
      <c r="O1194" s="205"/>
      <c r="P1194" s="205"/>
      <c r="Q1194" s="205"/>
      <c r="R1194" s="205"/>
      <c r="S1194" s="205"/>
      <c r="T1194" s="205"/>
      <c r="U1194" s="205"/>
      <c r="V1194" s="205"/>
      <c r="W1194" s="205"/>
      <c r="X1194" s="205"/>
      <c r="Y1194" s="205"/>
      <c r="Z1194" s="205"/>
      <c r="AA1194" s="205"/>
      <c r="AB1194" s="205"/>
      <c r="AC1194" s="205"/>
      <c r="AD1194" s="205"/>
      <c r="AE1194" s="205"/>
      <c r="AF1194" s="205"/>
      <c r="AG1194" s="205"/>
      <c r="AH1194" s="205"/>
      <c r="AI1194" s="205"/>
      <c r="AJ1194" s="747"/>
    </row>
    <row r="1195" spans="1:36" ht="14">
      <c r="A1195" s="40"/>
      <c r="B1195" s="40"/>
      <c r="C1195" s="124"/>
      <c r="D1195" s="124">
        <v>5</v>
      </c>
      <c r="E1195" s="124" t="s">
        <v>198</v>
      </c>
      <c r="F1195" s="41"/>
      <c r="G1195" s="41"/>
      <c r="H1195" s="66"/>
      <c r="I1195" s="125" t="s">
        <v>185</v>
      </c>
      <c r="J1195" s="128">
        <v>1000000</v>
      </c>
      <c r="K1195" s="204"/>
      <c r="L1195" s="217"/>
      <c r="M1195" s="217"/>
      <c r="N1195" s="217"/>
      <c r="O1195" s="217">
        <v>675000</v>
      </c>
      <c r="P1195" s="217"/>
      <c r="Q1195" s="217"/>
      <c r="R1195" s="217"/>
      <c r="S1195" s="217">
        <f t="shared" ref="S1195" si="1346">SUM(M1195:R1195)</f>
        <v>675000</v>
      </c>
      <c r="T1195" s="217">
        <f t="shared" ref="T1195" si="1347">S1195+L1195</f>
        <v>675000</v>
      </c>
      <c r="U1195" s="217"/>
      <c r="V1195" s="217"/>
      <c r="W1195" s="217"/>
      <c r="X1195" s="217">
        <v>1350000</v>
      </c>
      <c r="Y1195" s="217"/>
      <c r="Z1195" s="217">
        <f>SUM(U1195:Y1195)</f>
        <v>1350000</v>
      </c>
      <c r="AA1195" s="217">
        <f>Z1195+T1195</f>
        <v>2025000</v>
      </c>
      <c r="AB1195" s="217"/>
      <c r="AC1195" s="217"/>
      <c r="AD1195" s="217"/>
      <c r="AE1195" s="217">
        <v>226000</v>
      </c>
      <c r="AF1195" s="217"/>
      <c r="AG1195" s="217">
        <f t="shared" ref="AG1195" si="1348">SUM(AB1195:AF1195)</f>
        <v>226000</v>
      </c>
      <c r="AH1195" s="217">
        <f t="shared" ref="AH1195" si="1349">AG1195+AA1195</f>
        <v>2251000</v>
      </c>
      <c r="AI1195" s="217">
        <v>2251000</v>
      </c>
      <c r="AJ1195" s="764">
        <f>AI1195/AH1195*100</f>
        <v>100</v>
      </c>
    </row>
    <row r="1196" spans="1:36" ht="5.5" customHeight="1">
      <c r="A1196" s="40"/>
      <c r="B1196" s="40"/>
      <c r="C1196" s="124"/>
      <c r="D1196" s="124"/>
      <c r="E1196" s="124"/>
      <c r="F1196" s="41"/>
      <c r="G1196" s="41"/>
      <c r="H1196" s="66"/>
      <c r="I1196" s="125"/>
      <c r="J1196" s="126"/>
      <c r="K1196" s="204"/>
      <c r="L1196" s="205"/>
      <c r="M1196" s="205"/>
      <c r="N1196" s="205"/>
      <c r="O1196" s="205"/>
      <c r="P1196" s="205"/>
      <c r="Q1196" s="205"/>
      <c r="R1196" s="205"/>
      <c r="S1196" s="205"/>
      <c r="T1196" s="205"/>
      <c r="U1196" s="205"/>
      <c r="V1196" s="205"/>
      <c r="W1196" s="205"/>
      <c r="X1196" s="205"/>
      <c r="Y1196" s="205"/>
      <c r="Z1196" s="205"/>
      <c r="AA1196" s="205"/>
      <c r="AB1196" s="205"/>
      <c r="AC1196" s="205"/>
      <c r="AD1196" s="205"/>
      <c r="AE1196" s="205"/>
      <c r="AF1196" s="205"/>
      <c r="AG1196" s="205"/>
      <c r="AH1196" s="205"/>
      <c r="AI1196" s="205"/>
      <c r="AJ1196" s="747"/>
    </row>
    <row r="1197" spans="1:36" ht="14">
      <c r="A1197" s="40"/>
      <c r="B1197" s="40"/>
      <c r="C1197" s="124"/>
      <c r="D1197" s="124"/>
      <c r="E1197" s="124"/>
      <c r="F1197" s="42"/>
      <c r="G1197" s="42"/>
      <c r="H1197" s="129"/>
      <c r="I1197" s="130" t="s">
        <v>37</v>
      </c>
      <c r="J1197" s="131">
        <f>SUM(J1195:J1196)</f>
        <v>1000000</v>
      </c>
      <c r="K1197" s="209"/>
      <c r="L1197" s="218"/>
      <c r="M1197" s="218">
        <f t="shared" ref="M1197:T1197" si="1350">SUM(M1195:M1196)</f>
        <v>0</v>
      </c>
      <c r="N1197" s="218">
        <f t="shared" si="1350"/>
        <v>0</v>
      </c>
      <c r="O1197" s="218">
        <f t="shared" si="1350"/>
        <v>675000</v>
      </c>
      <c r="P1197" s="218">
        <f t="shared" si="1350"/>
        <v>0</v>
      </c>
      <c r="Q1197" s="218">
        <f t="shared" si="1350"/>
        <v>0</v>
      </c>
      <c r="R1197" s="218">
        <f t="shared" si="1350"/>
        <v>0</v>
      </c>
      <c r="S1197" s="218">
        <f t="shared" si="1350"/>
        <v>675000</v>
      </c>
      <c r="T1197" s="218">
        <f t="shared" si="1350"/>
        <v>675000</v>
      </c>
      <c r="U1197" s="218"/>
      <c r="V1197" s="218"/>
      <c r="W1197" s="218"/>
      <c r="X1197" s="218">
        <f t="shared" ref="X1197" si="1351">SUM(X1195:X1196)</f>
        <v>1350000</v>
      </c>
      <c r="Y1197" s="218"/>
      <c r="Z1197" s="218">
        <f t="shared" ref="Z1197:AA1197" si="1352">SUM(Z1195:Z1196)</f>
        <v>1350000</v>
      </c>
      <c r="AA1197" s="218">
        <f t="shared" si="1352"/>
        <v>2025000</v>
      </c>
      <c r="AB1197" s="218"/>
      <c r="AC1197" s="218"/>
      <c r="AD1197" s="218"/>
      <c r="AE1197" s="218">
        <f t="shared" ref="AE1197" si="1353">SUM(AE1195:AE1196)</f>
        <v>226000</v>
      </c>
      <c r="AF1197" s="218"/>
      <c r="AG1197" s="218">
        <f t="shared" ref="AG1197:AI1197" si="1354">SUM(AG1195:AG1196)</f>
        <v>226000</v>
      </c>
      <c r="AH1197" s="218">
        <f t="shared" si="1354"/>
        <v>2251000</v>
      </c>
      <c r="AI1197" s="218">
        <f t="shared" si="1354"/>
        <v>2251000</v>
      </c>
      <c r="AJ1197" s="776">
        <f>AI1197/AH1197*100</f>
        <v>100</v>
      </c>
    </row>
    <row r="1198" spans="1:36" ht="13" customHeight="1">
      <c r="A1198" s="40"/>
      <c r="B1198" s="40"/>
      <c r="C1198" s="124"/>
      <c r="D1198" s="124"/>
      <c r="E1198" s="124"/>
      <c r="F1198" s="41"/>
      <c r="G1198" s="41"/>
      <c r="H1198" s="66"/>
      <c r="I1198" s="41"/>
      <c r="J1198" s="132"/>
      <c r="K1198" s="210"/>
      <c r="L1198" s="219"/>
      <c r="M1198" s="219"/>
      <c r="N1198" s="219"/>
      <c r="O1198" s="219"/>
      <c r="P1198" s="219"/>
      <c r="Q1198" s="219"/>
      <c r="R1198" s="219"/>
      <c r="S1198" s="219"/>
      <c r="T1198" s="219"/>
      <c r="U1198" s="219"/>
      <c r="V1198" s="219"/>
      <c r="W1198" s="219"/>
      <c r="X1198" s="219"/>
      <c r="Y1198" s="219"/>
      <c r="Z1198" s="219"/>
      <c r="AA1198" s="219"/>
      <c r="AB1198" s="219"/>
      <c r="AC1198" s="219"/>
      <c r="AD1198" s="219"/>
      <c r="AE1198" s="219"/>
      <c r="AF1198" s="219"/>
      <c r="AG1198" s="219"/>
      <c r="AH1198" s="219"/>
      <c r="AI1198" s="219"/>
      <c r="AJ1198" s="777"/>
    </row>
    <row r="1199" spans="1:36" ht="13" customHeight="1">
      <c r="A1199" s="40">
        <v>69</v>
      </c>
      <c r="B1199" s="40"/>
      <c r="C1199" s="124"/>
      <c r="D1199" s="124"/>
      <c r="E1199" s="124"/>
      <c r="F1199" s="41" t="s">
        <v>651</v>
      </c>
      <c r="G1199" s="41"/>
      <c r="H1199" s="66"/>
      <c r="I1199" s="41"/>
      <c r="J1199" s="132"/>
      <c r="K1199" s="210"/>
      <c r="L1199" s="219"/>
      <c r="M1199" s="219"/>
      <c r="N1199" s="219"/>
      <c r="O1199" s="219"/>
      <c r="P1199" s="219"/>
      <c r="Q1199" s="219"/>
      <c r="R1199" s="219"/>
      <c r="S1199" s="219"/>
      <c r="T1199" s="219"/>
      <c r="U1199" s="219"/>
      <c r="V1199" s="219"/>
      <c r="W1199" s="219"/>
      <c r="X1199" s="219"/>
      <c r="Y1199" s="219"/>
      <c r="Z1199" s="219"/>
      <c r="AA1199" s="219"/>
      <c r="AB1199" s="219"/>
      <c r="AC1199" s="219"/>
      <c r="AD1199" s="219"/>
      <c r="AE1199" s="219"/>
      <c r="AF1199" s="219"/>
      <c r="AG1199" s="219"/>
      <c r="AH1199" s="219"/>
      <c r="AI1199" s="219"/>
      <c r="AJ1199" s="777"/>
    </row>
    <row r="1200" spans="1:36" ht="13" customHeight="1">
      <c r="A1200" s="40"/>
      <c r="B1200" s="40"/>
      <c r="C1200" s="124">
        <v>1</v>
      </c>
      <c r="D1200" s="124"/>
      <c r="E1200" s="124"/>
      <c r="F1200" s="41"/>
      <c r="G1200" s="41"/>
      <c r="H1200" s="66" t="s">
        <v>35</v>
      </c>
      <c r="I1200" s="125"/>
      <c r="J1200" s="126"/>
      <c r="K1200" s="204"/>
      <c r="L1200" s="205"/>
      <c r="M1200" s="205"/>
      <c r="N1200" s="205"/>
      <c r="O1200" s="205"/>
      <c r="P1200" s="205"/>
      <c r="Q1200" s="205"/>
      <c r="R1200" s="205"/>
      <c r="S1200" s="205"/>
      <c r="T1200" s="205"/>
      <c r="U1200" s="205"/>
      <c r="V1200" s="205"/>
      <c r="W1200" s="205"/>
      <c r="X1200" s="205"/>
      <c r="Y1200" s="205"/>
      <c r="Z1200" s="205"/>
      <c r="AA1200" s="205"/>
      <c r="AB1200" s="205"/>
      <c r="AC1200" s="205"/>
      <c r="AD1200" s="205"/>
      <c r="AE1200" s="205"/>
      <c r="AF1200" s="205"/>
      <c r="AG1200" s="205"/>
      <c r="AH1200" s="205"/>
      <c r="AI1200" s="205"/>
      <c r="AJ1200" s="747"/>
    </row>
    <row r="1201" spans="1:36" ht="13" customHeight="1">
      <c r="A1201" s="40"/>
      <c r="B1201" s="40"/>
      <c r="C1201" s="124"/>
      <c r="D1201" s="124">
        <v>1</v>
      </c>
      <c r="E1201" s="124" t="s">
        <v>199</v>
      </c>
      <c r="F1201" s="41"/>
      <c r="G1201" s="41"/>
      <c r="H1201" s="66"/>
      <c r="I1201" s="66" t="s">
        <v>180</v>
      </c>
      <c r="J1201" s="126"/>
      <c r="K1201" s="204"/>
      <c r="L1201" s="205"/>
      <c r="M1201" s="205"/>
      <c r="N1201" s="205"/>
      <c r="O1201" s="205"/>
      <c r="P1201" s="220">
        <v>660000</v>
      </c>
      <c r="Q1201" s="205"/>
      <c r="R1201" s="205"/>
      <c r="S1201" s="217">
        <f t="shared" ref="S1201:S1203" si="1355">SUM(M1201:R1201)</f>
        <v>660000</v>
      </c>
      <c r="T1201" s="217"/>
      <c r="U1201" s="205"/>
      <c r="V1201" s="205"/>
      <c r="W1201" s="220">
        <v>21774415</v>
      </c>
      <c r="X1201" s="205"/>
      <c r="Y1201" s="205"/>
      <c r="Z1201" s="217">
        <f>SUM(U1201:Y1201)</f>
        <v>21774415</v>
      </c>
      <c r="AA1201" s="217">
        <f>Z1201+T1201</f>
        <v>21774415</v>
      </c>
      <c r="AB1201" s="205"/>
      <c r="AC1201" s="205"/>
      <c r="AD1201" s="220"/>
      <c r="AE1201" s="220">
        <v>-2083434</v>
      </c>
      <c r="AF1201" s="205"/>
      <c r="AG1201" s="217">
        <f t="shared" ref="AG1201:AG1203" si="1356">SUM(AB1201:AF1201)</f>
        <v>-2083434</v>
      </c>
      <c r="AH1201" s="217">
        <f t="shared" ref="AH1201:AH1203" si="1357">AG1201+AA1201</f>
        <v>19690981</v>
      </c>
      <c r="AI1201" s="217">
        <v>5827778</v>
      </c>
      <c r="AJ1201" s="764">
        <f t="shared" ref="AJ1201:AJ1203" si="1358">AI1201/AH1201*100</f>
        <v>29.596179083205655</v>
      </c>
    </row>
    <row r="1202" spans="1:36" ht="13" customHeight="1">
      <c r="A1202" s="40"/>
      <c r="B1202" s="40"/>
      <c r="C1202" s="124"/>
      <c r="D1202" s="124">
        <v>2</v>
      </c>
      <c r="E1202" s="124" t="s">
        <v>199</v>
      </c>
      <c r="F1202" s="41"/>
      <c r="G1202" s="41"/>
      <c r="H1202" s="66"/>
      <c r="I1202" s="66" t="s">
        <v>182</v>
      </c>
      <c r="J1202" s="126"/>
      <c r="K1202" s="204"/>
      <c r="L1202" s="205"/>
      <c r="M1202" s="205"/>
      <c r="N1202" s="205"/>
      <c r="O1202" s="205"/>
      <c r="P1202" s="220">
        <v>145200</v>
      </c>
      <c r="Q1202" s="205"/>
      <c r="R1202" s="205"/>
      <c r="S1202" s="217">
        <f t="shared" si="1355"/>
        <v>145200</v>
      </c>
      <c r="T1202" s="217"/>
      <c r="U1202" s="205"/>
      <c r="V1202" s="205"/>
      <c r="W1202" s="220">
        <v>4332700</v>
      </c>
      <c r="X1202" s="205"/>
      <c r="Y1202" s="205"/>
      <c r="Z1202" s="217">
        <f>SUM(U1202:Y1202)</f>
        <v>4332700</v>
      </c>
      <c r="AA1202" s="217">
        <f>Z1202+T1202</f>
        <v>4332700</v>
      </c>
      <c r="AB1202" s="205"/>
      <c r="AC1202" s="205"/>
      <c r="AD1202" s="220"/>
      <c r="AE1202" s="220">
        <v>-406270</v>
      </c>
      <c r="AF1202" s="205"/>
      <c r="AG1202" s="217">
        <f t="shared" si="1356"/>
        <v>-406270</v>
      </c>
      <c r="AH1202" s="217">
        <f t="shared" si="1357"/>
        <v>3926430</v>
      </c>
      <c r="AI1202" s="217">
        <v>1031987</v>
      </c>
      <c r="AJ1202" s="764">
        <f t="shared" si="1358"/>
        <v>26.283086671607542</v>
      </c>
    </row>
    <row r="1203" spans="1:36" ht="14">
      <c r="A1203" s="40"/>
      <c r="B1203" s="40"/>
      <c r="C1203" s="124"/>
      <c r="D1203" s="465">
        <v>3</v>
      </c>
      <c r="E1203" s="465" t="s">
        <v>199</v>
      </c>
      <c r="F1203" s="125"/>
      <c r="G1203" s="481"/>
      <c r="H1203" s="125"/>
      <c r="I1203" s="66" t="s">
        <v>116</v>
      </c>
      <c r="J1203" s="128">
        <v>12000000</v>
      </c>
      <c r="K1203" s="204"/>
      <c r="L1203" s="217"/>
      <c r="M1203" s="217"/>
      <c r="N1203" s="217"/>
      <c r="O1203" s="217"/>
      <c r="P1203" s="217">
        <v>20000</v>
      </c>
      <c r="Q1203" s="217"/>
      <c r="R1203" s="217"/>
      <c r="S1203" s="217">
        <f t="shared" si="1355"/>
        <v>20000</v>
      </c>
      <c r="T1203" s="217"/>
      <c r="U1203" s="217"/>
      <c r="V1203" s="217"/>
      <c r="W1203" s="217">
        <v>6638235</v>
      </c>
      <c r="X1203" s="217"/>
      <c r="Y1203" s="217"/>
      <c r="Z1203" s="217">
        <f>SUM(U1203:Y1203)</f>
        <v>6638235</v>
      </c>
      <c r="AA1203" s="217">
        <f>Z1203+T1203</f>
        <v>6638235</v>
      </c>
      <c r="AB1203" s="217"/>
      <c r="AC1203" s="217"/>
      <c r="AD1203" s="217"/>
      <c r="AE1203" s="217">
        <v>2489704</v>
      </c>
      <c r="AF1203" s="217"/>
      <c r="AG1203" s="217">
        <f t="shared" si="1356"/>
        <v>2489704</v>
      </c>
      <c r="AH1203" s="217">
        <f t="shared" si="1357"/>
        <v>9127939</v>
      </c>
      <c r="AI1203" s="217">
        <v>7707651</v>
      </c>
      <c r="AJ1203" s="764">
        <f t="shared" si="1358"/>
        <v>84.440211530773809</v>
      </c>
    </row>
    <row r="1204" spans="1:36" ht="4" customHeight="1">
      <c r="A1204" s="40"/>
      <c r="B1204" s="40"/>
      <c r="C1204" s="124"/>
      <c r="D1204" s="124"/>
      <c r="E1204" s="124"/>
      <c r="F1204" s="41"/>
      <c r="G1204" s="41"/>
      <c r="H1204" s="66"/>
      <c r="I1204" s="125"/>
      <c r="J1204" s="126"/>
      <c r="K1204" s="204"/>
      <c r="L1204" s="205"/>
      <c r="M1204" s="205"/>
      <c r="N1204" s="205"/>
      <c r="O1204" s="205"/>
      <c r="P1204" s="205"/>
      <c r="Q1204" s="205"/>
      <c r="R1204" s="205"/>
      <c r="S1204" s="205"/>
      <c r="T1204" s="205"/>
      <c r="U1204" s="205"/>
      <c r="V1204" s="205"/>
      <c r="W1204" s="205"/>
      <c r="X1204" s="205"/>
      <c r="Y1204" s="205"/>
      <c r="Z1204" s="205"/>
      <c r="AA1204" s="205"/>
      <c r="AB1204" s="205"/>
      <c r="AC1204" s="205"/>
      <c r="AD1204" s="205"/>
      <c r="AE1204" s="205"/>
      <c r="AF1204" s="205"/>
      <c r="AG1204" s="205"/>
      <c r="AH1204" s="205"/>
      <c r="AI1204" s="205"/>
      <c r="AJ1204" s="747"/>
    </row>
    <row r="1205" spans="1:36" ht="14">
      <c r="A1205" s="40"/>
      <c r="B1205" s="40"/>
      <c r="C1205" s="124"/>
      <c r="D1205" s="124"/>
      <c r="E1205" s="124"/>
      <c r="F1205" s="42"/>
      <c r="G1205" s="42"/>
      <c r="H1205" s="129"/>
      <c r="I1205" s="130" t="s">
        <v>37</v>
      </c>
      <c r="J1205" s="131">
        <f>SUM(J1203:J1204)</f>
        <v>12000000</v>
      </c>
      <c r="K1205" s="209"/>
      <c r="L1205" s="218"/>
      <c r="M1205" s="218"/>
      <c r="N1205" s="508"/>
      <c r="O1205" s="508"/>
      <c r="P1205" s="508">
        <f>SUM(P1201:P1204)</f>
        <v>825200</v>
      </c>
      <c r="Q1205" s="508">
        <f t="shared" ref="Q1205:T1205" si="1359">SUM(Q1201:Q1204)</f>
        <v>0</v>
      </c>
      <c r="R1205" s="508">
        <f t="shared" si="1359"/>
        <v>0</v>
      </c>
      <c r="S1205" s="508">
        <f t="shared" si="1359"/>
        <v>825200</v>
      </c>
      <c r="T1205" s="508">
        <f t="shared" si="1359"/>
        <v>0</v>
      </c>
      <c r="U1205" s="508"/>
      <c r="V1205" s="508"/>
      <c r="W1205" s="508">
        <f t="shared" ref="W1205" si="1360">SUM(W1201:W1204)</f>
        <v>32745350</v>
      </c>
      <c r="X1205" s="508"/>
      <c r="Y1205" s="508"/>
      <c r="Z1205" s="508">
        <f t="shared" ref="Z1205:AA1205" si="1361">SUM(Z1201:Z1204)</f>
        <v>32745350</v>
      </c>
      <c r="AA1205" s="508">
        <f t="shared" si="1361"/>
        <v>32745350</v>
      </c>
      <c r="AB1205" s="508"/>
      <c r="AC1205" s="508"/>
      <c r="AD1205" s="508">
        <f t="shared" ref="AD1205" si="1362">SUM(AD1201:AD1204)</f>
        <v>0</v>
      </c>
      <c r="AE1205" s="508">
        <f t="shared" ref="AE1205:AI1205" si="1363">SUM(AE1201:AE1204)</f>
        <v>0</v>
      </c>
      <c r="AF1205" s="508">
        <f t="shared" si="1363"/>
        <v>0</v>
      </c>
      <c r="AG1205" s="508">
        <f t="shared" si="1363"/>
        <v>0</v>
      </c>
      <c r="AH1205" s="508">
        <f t="shared" si="1363"/>
        <v>32745350</v>
      </c>
      <c r="AI1205" s="508">
        <f t="shared" si="1363"/>
        <v>14567416</v>
      </c>
      <c r="AJ1205" s="776">
        <f>AI1205/AH1205*100</f>
        <v>44.486976013388166</v>
      </c>
    </row>
    <row r="1206" spans="1:36" ht="13" customHeight="1">
      <c r="A1206" s="40"/>
      <c r="B1206" s="40"/>
      <c r="C1206" s="124"/>
      <c r="D1206" s="124"/>
      <c r="E1206" s="124"/>
      <c r="F1206" s="41"/>
      <c r="G1206" s="41"/>
      <c r="H1206" s="66"/>
      <c r="I1206" s="41"/>
      <c r="J1206" s="132"/>
      <c r="K1206" s="210"/>
      <c r="L1206" s="219"/>
      <c r="M1206" s="219"/>
      <c r="N1206" s="219"/>
      <c r="O1206" s="219"/>
      <c r="P1206" s="219"/>
      <c r="Q1206" s="219"/>
      <c r="R1206" s="219"/>
      <c r="S1206" s="219"/>
      <c r="T1206" s="219"/>
      <c r="U1206" s="219"/>
      <c r="V1206" s="219"/>
      <c r="W1206" s="219"/>
      <c r="X1206" s="219"/>
      <c r="Y1206" s="219"/>
      <c r="Z1206" s="219"/>
      <c r="AA1206" s="219"/>
      <c r="AB1206" s="219"/>
      <c r="AC1206" s="219"/>
      <c r="AD1206" s="219"/>
      <c r="AE1206" s="219"/>
      <c r="AF1206" s="219"/>
      <c r="AG1206" s="219"/>
      <c r="AH1206" s="219"/>
      <c r="AI1206" s="219"/>
      <c r="AJ1206" s="777"/>
    </row>
    <row r="1207" spans="1:36" ht="13" customHeight="1">
      <c r="A1207" s="40">
        <v>70</v>
      </c>
      <c r="B1207" s="40"/>
      <c r="C1207" s="124"/>
      <c r="D1207" s="124"/>
      <c r="E1207" s="124"/>
      <c r="F1207" s="41" t="s">
        <v>652</v>
      </c>
      <c r="G1207" s="41"/>
      <c r="H1207" s="66"/>
      <c r="I1207" s="41"/>
      <c r="J1207" s="132"/>
      <c r="K1207" s="210"/>
      <c r="L1207" s="219"/>
      <c r="M1207" s="219"/>
      <c r="N1207" s="219"/>
      <c r="O1207" s="219"/>
      <c r="P1207" s="219"/>
      <c r="Q1207" s="219"/>
      <c r="R1207" s="219"/>
      <c r="S1207" s="219"/>
      <c r="T1207" s="219"/>
      <c r="U1207" s="219"/>
      <c r="V1207" s="219"/>
      <c r="W1207" s="219"/>
      <c r="X1207" s="219"/>
      <c r="Y1207" s="219"/>
      <c r="Z1207" s="219"/>
      <c r="AA1207" s="219"/>
      <c r="AB1207" s="219"/>
      <c r="AC1207" s="219"/>
      <c r="AD1207" s="219"/>
      <c r="AE1207" s="219"/>
      <c r="AF1207" s="219"/>
      <c r="AG1207" s="219"/>
      <c r="AH1207" s="219"/>
      <c r="AI1207" s="219"/>
      <c r="AJ1207" s="777"/>
    </row>
    <row r="1208" spans="1:36" ht="13" customHeight="1">
      <c r="A1208" s="40"/>
      <c r="B1208" s="40"/>
      <c r="C1208" s="124">
        <v>1</v>
      </c>
      <c r="D1208" s="124"/>
      <c r="E1208" s="124"/>
      <c r="F1208" s="41"/>
      <c r="G1208" s="41"/>
      <c r="H1208" s="66" t="s">
        <v>35</v>
      </c>
      <c r="I1208" s="125"/>
      <c r="J1208" s="126"/>
      <c r="K1208" s="204"/>
      <c r="L1208" s="205"/>
      <c r="M1208" s="205"/>
      <c r="N1208" s="205"/>
      <c r="O1208" s="205"/>
      <c r="P1208" s="205"/>
      <c r="Q1208" s="205"/>
      <c r="R1208" s="205"/>
      <c r="S1208" s="205"/>
      <c r="T1208" s="205"/>
      <c r="U1208" s="205"/>
      <c r="V1208" s="205"/>
      <c r="W1208" s="205"/>
      <c r="X1208" s="205"/>
      <c r="Y1208" s="205"/>
      <c r="Z1208" s="205"/>
      <c r="AA1208" s="205"/>
      <c r="AB1208" s="205"/>
      <c r="AC1208" s="205"/>
      <c r="AD1208" s="205"/>
      <c r="AE1208" s="205"/>
      <c r="AF1208" s="205"/>
      <c r="AG1208" s="205"/>
      <c r="AH1208" s="205"/>
      <c r="AI1208" s="205"/>
      <c r="AJ1208" s="747"/>
    </row>
    <row r="1209" spans="1:36" ht="13" customHeight="1">
      <c r="A1209" s="40"/>
      <c r="B1209" s="40"/>
      <c r="C1209" s="124"/>
      <c r="D1209" s="124">
        <v>1</v>
      </c>
      <c r="E1209" s="124" t="s">
        <v>198</v>
      </c>
      <c r="F1209" s="41"/>
      <c r="G1209" s="41"/>
      <c r="H1209" s="66"/>
      <c r="I1209" s="66" t="s">
        <v>180</v>
      </c>
      <c r="J1209" s="126"/>
      <c r="K1209" s="204"/>
      <c r="L1209" s="205"/>
      <c r="M1209" s="205"/>
      <c r="N1209" s="205"/>
      <c r="O1209" s="205"/>
      <c r="P1209" s="220">
        <v>660000</v>
      </c>
      <c r="Q1209" s="205"/>
      <c r="R1209" s="205"/>
      <c r="S1209" s="217">
        <f t="shared" ref="S1209:S1210" si="1364">SUM(M1209:R1209)</f>
        <v>660000</v>
      </c>
      <c r="T1209" s="217"/>
      <c r="U1209" s="205"/>
      <c r="V1209" s="205"/>
      <c r="W1209" s="220">
        <v>8218841</v>
      </c>
      <c r="X1209" s="205"/>
      <c r="Y1209" s="205"/>
      <c r="Z1209" s="217">
        <f>SUM(U1209:Y1209)</f>
        <v>8218841</v>
      </c>
      <c r="AA1209" s="217">
        <f>Z1209+T1209</f>
        <v>8218841</v>
      </c>
      <c r="AB1209" s="205"/>
      <c r="AC1209" s="205"/>
      <c r="AD1209" s="220"/>
      <c r="AE1209" s="205"/>
      <c r="AF1209" s="205"/>
      <c r="AG1209" s="217">
        <f t="shared" ref="AG1209:AG1210" si="1365">SUM(AB1209:AF1209)</f>
        <v>0</v>
      </c>
      <c r="AH1209" s="217">
        <f t="shared" ref="AH1209:AH1210" si="1366">AG1209+AA1209</f>
        <v>8218841</v>
      </c>
      <c r="AI1209" s="217">
        <v>8218841</v>
      </c>
      <c r="AJ1209" s="764">
        <f t="shared" ref="AJ1209:AJ1210" si="1367">AI1209/AH1209*100</f>
        <v>100</v>
      </c>
    </row>
    <row r="1210" spans="1:36" ht="13" customHeight="1">
      <c r="A1210" s="40"/>
      <c r="B1210" s="40"/>
      <c r="C1210" s="124"/>
      <c r="D1210" s="124">
        <v>2</v>
      </c>
      <c r="E1210" s="124" t="s">
        <v>198</v>
      </c>
      <c r="F1210" s="41"/>
      <c r="G1210" s="41"/>
      <c r="H1210" s="66"/>
      <c r="I1210" s="66" t="s">
        <v>182</v>
      </c>
      <c r="J1210" s="126"/>
      <c r="K1210" s="204"/>
      <c r="L1210" s="205"/>
      <c r="M1210" s="205"/>
      <c r="N1210" s="205"/>
      <c r="O1210" s="205"/>
      <c r="P1210" s="220">
        <v>145200</v>
      </c>
      <c r="Q1210" s="205"/>
      <c r="R1210" s="205"/>
      <c r="S1210" s="217">
        <f t="shared" si="1364"/>
        <v>145200</v>
      </c>
      <c r="T1210" s="217"/>
      <c r="U1210" s="205"/>
      <c r="V1210" s="205"/>
      <c r="W1210" s="220">
        <v>1602714</v>
      </c>
      <c r="X1210" s="205"/>
      <c r="Y1210" s="205"/>
      <c r="Z1210" s="217">
        <f>SUM(U1210:Y1210)</f>
        <v>1602714</v>
      </c>
      <c r="AA1210" s="217">
        <f>Z1210+T1210</f>
        <v>1602714</v>
      </c>
      <c r="AB1210" s="205"/>
      <c r="AC1210" s="205"/>
      <c r="AD1210" s="220"/>
      <c r="AE1210" s="205"/>
      <c r="AF1210" s="205"/>
      <c r="AG1210" s="217">
        <f t="shared" si="1365"/>
        <v>0</v>
      </c>
      <c r="AH1210" s="217">
        <f t="shared" si="1366"/>
        <v>1602714</v>
      </c>
      <c r="AI1210" s="217">
        <v>1602714</v>
      </c>
      <c r="AJ1210" s="764">
        <f t="shared" si="1367"/>
        <v>100</v>
      </c>
    </row>
    <row r="1211" spans="1:36" ht="7.5" customHeight="1">
      <c r="A1211" s="40"/>
      <c r="B1211" s="40"/>
      <c r="C1211" s="124"/>
      <c r="D1211" s="124"/>
      <c r="E1211" s="124"/>
      <c r="F1211" s="41"/>
      <c r="G1211" s="41"/>
      <c r="H1211" s="66"/>
      <c r="I1211" s="125"/>
      <c r="J1211" s="126"/>
      <c r="K1211" s="204"/>
      <c r="L1211" s="205"/>
      <c r="M1211" s="205"/>
      <c r="N1211" s="205"/>
      <c r="O1211" s="205"/>
      <c r="P1211" s="205"/>
      <c r="Q1211" s="205"/>
      <c r="R1211" s="205"/>
      <c r="S1211" s="205"/>
      <c r="T1211" s="205"/>
      <c r="U1211" s="205"/>
      <c r="V1211" s="205"/>
      <c r="W1211" s="205"/>
      <c r="X1211" s="205"/>
      <c r="Y1211" s="205"/>
      <c r="Z1211" s="205"/>
      <c r="AA1211" s="205"/>
      <c r="AB1211" s="205"/>
      <c r="AC1211" s="205"/>
      <c r="AD1211" s="205"/>
      <c r="AE1211" s="205"/>
      <c r="AF1211" s="205"/>
      <c r="AG1211" s="205"/>
      <c r="AH1211" s="205"/>
      <c r="AI1211" s="205"/>
      <c r="AJ1211" s="747"/>
    </row>
    <row r="1212" spans="1:36" ht="14">
      <c r="A1212" s="40"/>
      <c r="B1212" s="40"/>
      <c r="C1212" s="124"/>
      <c r="D1212" s="124"/>
      <c r="E1212" s="124"/>
      <c r="F1212" s="42"/>
      <c r="G1212" s="42"/>
      <c r="H1212" s="129"/>
      <c r="I1212" s="130" t="s">
        <v>37</v>
      </c>
      <c r="J1212" s="131">
        <f>SUM(J1211:J1211)</f>
        <v>0</v>
      </c>
      <c r="K1212" s="209"/>
      <c r="L1212" s="218"/>
      <c r="M1212" s="218"/>
      <c r="N1212" s="508"/>
      <c r="O1212" s="508"/>
      <c r="P1212" s="508">
        <f>SUM(P1209:P1211)</f>
        <v>805200</v>
      </c>
      <c r="Q1212" s="508">
        <f>SUM(Q1209:Q1211)</f>
        <v>0</v>
      </c>
      <c r="R1212" s="508">
        <f>SUM(R1209:R1211)</f>
        <v>0</v>
      </c>
      <c r="S1212" s="508">
        <f>SUM(S1209:S1211)</f>
        <v>805200</v>
      </c>
      <c r="T1212" s="508">
        <f>SUM(T1209:T1211)</f>
        <v>0</v>
      </c>
      <c r="U1212" s="508"/>
      <c r="V1212" s="508"/>
      <c r="W1212" s="508">
        <f>SUM(W1209:W1211)</f>
        <v>9821555</v>
      </c>
      <c r="X1212" s="508"/>
      <c r="Y1212" s="508"/>
      <c r="Z1212" s="508">
        <f>SUM(Z1209:Z1211)</f>
        <v>9821555</v>
      </c>
      <c r="AA1212" s="508">
        <f>SUM(AA1209:AA1211)</f>
        <v>9821555</v>
      </c>
      <c r="AB1212" s="508"/>
      <c r="AC1212" s="508"/>
      <c r="AD1212" s="508">
        <f>SUM(AD1209:AD1211)</f>
        <v>0</v>
      </c>
      <c r="AE1212" s="508"/>
      <c r="AF1212" s="508"/>
      <c r="AG1212" s="508">
        <f>SUM(AG1209:AG1211)</f>
        <v>0</v>
      </c>
      <c r="AH1212" s="508">
        <f>SUM(AH1209:AH1211)</f>
        <v>9821555</v>
      </c>
      <c r="AI1212" s="508">
        <f>SUM(AI1209:AI1211)</f>
        <v>9821555</v>
      </c>
      <c r="AJ1212" s="776">
        <f>AI1212/AH1212*100</f>
        <v>100</v>
      </c>
    </row>
    <row r="1213" spans="1:36" ht="14">
      <c r="A1213" s="40"/>
      <c r="B1213" s="40"/>
      <c r="C1213" s="124"/>
      <c r="D1213" s="124"/>
      <c r="E1213" s="124"/>
      <c r="F1213" s="41"/>
      <c r="G1213" s="41"/>
      <c r="H1213" s="66"/>
      <c r="I1213" s="41"/>
      <c r="J1213" s="132"/>
      <c r="K1213" s="210"/>
      <c r="L1213" s="219"/>
      <c r="M1213" s="219"/>
      <c r="N1213" s="219"/>
      <c r="O1213" s="219"/>
      <c r="P1213" s="219"/>
      <c r="Q1213" s="219"/>
      <c r="R1213" s="219"/>
      <c r="S1213" s="219"/>
      <c r="T1213" s="219"/>
      <c r="U1213" s="219"/>
      <c r="V1213" s="219"/>
      <c r="W1213" s="219"/>
      <c r="X1213" s="219"/>
      <c r="Y1213" s="219"/>
      <c r="Z1213" s="219"/>
      <c r="AA1213" s="219"/>
      <c r="AB1213" s="219"/>
      <c r="AC1213" s="219"/>
      <c r="AD1213" s="219"/>
      <c r="AE1213" s="219"/>
      <c r="AF1213" s="219"/>
      <c r="AG1213" s="219"/>
      <c r="AH1213" s="219"/>
      <c r="AI1213" s="219"/>
      <c r="AJ1213" s="777"/>
    </row>
    <row r="1214" spans="1:36" ht="31" customHeight="1">
      <c r="A1214" s="40">
        <v>71</v>
      </c>
      <c r="B1214" s="40"/>
      <c r="C1214" s="124"/>
      <c r="D1214" s="124"/>
      <c r="E1214" s="124"/>
      <c r="F1214" s="976" t="s">
        <v>727</v>
      </c>
      <c r="G1214" s="935"/>
      <c r="H1214" s="935"/>
      <c r="I1214" s="936"/>
      <c r="J1214" s="132"/>
      <c r="K1214" s="210"/>
      <c r="L1214" s="219"/>
      <c r="M1214" s="219"/>
      <c r="N1214" s="219"/>
      <c r="O1214" s="219"/>
      <c r="P1214" s="219"/>
      <c r="Q1214" s="219"/>
      <c r="R1214" s="219"/>
      <c r="S1214" s="219"/>
      <c r="T1214" s="219"/>
      <c r="U1214" s="219"/>
      <c r="V1214" s="219"/>
      <c r="W1214" s="219"/>
      <c r="X1214" s="219"/>
      <c r="Y1214" s="219"/>
      <c r="Z1214" s="219"/>
      <c r="AA1214" s="219"/>
      <c r="AB1214" s="219"/>
      <c r="AC1214" s="219"/>
      <c r="AD1214" s="219"/>
      <c r="AE1214" s="219"/>
      <c r="AF1214" s="219"/>
      <c r="AG1214" s="219"/>
      <c r="AH1214" s="219"/>
      <c r="AI1214" s="219"/>
      <c r="AJ1214" s="777"/>
    </row>
    <row r="1215" spans="1:36" ht="14">
      <c r="A1215" s="40"/>
      <c r="B1215" s="40"/>
      <c r="C1215" s="124">
        <v>1</v>
      </c>
      <c r="D1215" s="124"/>
      <c r="E1215" s="124"/>
      <c r="F1215" s="41"/>
      <c r="G1215" s="41"/>
      <c r="H1215" s="66" t="s">
        <v>35</v>
      </c>
      <c r="I1215" s="125"/>
      <c r="J1215" s="126"/>
      <c r="K1215" s="204"/>
      <c r="L1215" s="205"/>
      <c r="M1215" s="205"/>
      <c r="N1215" s="205"/>
      <c r="O1215" s="205"/>
      <c r="P1215" s="205"/>
      <c r="Q1215" s="205"/>
      <c r="R1215" s="205"/>
      <c r="S1215" s="205"/>
      <c r="T1215" s="205"/>
      <c r="U1215" s="205"/>
      <c r="V1215" s="205"/>
      <c r="W1215" s="205"/>
      <c r="X1215" s="205"/>
      <c r="Y1215" s="205"/>
      <c r="Z1215" s="205"/>
      <c r="AA1215" s="205"/>
      <c r="AB1215" s="205"/>
      <c r="AC1215" s="205"/>
      <c r="AD1215" s="205"/>
      <c r="AE1215" s="205"/>
      <c r="AF1215" s="205"/>
      <c r="AG1215" s="205"/>
      <c r="AH1215" s="205"/>
      <c r="AI1215" s="205"/>
      <c r="AJ1215" s="747"/>
    </row>
    <row r="1216" spans="1:36" ht="14">
      <c r="A1216" s="40"/>
      <c r="B1216" s="40"/>
      <c r="C1216" s="124"/>
      <c r="D1216" s="124">
        <v>5</v>
      </c>
      <c r="E1216" s="124" t="s">
        <v>198</v>
      </c>
      <c r="F1216" s="41"/>
      <c r="G1216" s="41"/>
      <c r="H1216" s="66"/>
      <c r="I1216" s="125" t="s">
        <v>185</v>
      </c>
      <c r="J1216" s="128">
        <v>1000000</v>
      </c>
      <c r="K1216" s="204"/>
      <c r="L1216" s="217"/>
      <c r="M1216" s="217"/>
      <c r="N1216" s="217"/>
      <c r="O1216" s="217">
        <v>675000</v>
      </c>
      <c r="P1216" s="217"/>
      <c r="Q1216" s="217"/>
      <c r="R1216" s="217"/>
      <c r="S1216" s="217">
        <f t="shared" ref="S1216" si="1368">SUM(M1216:R1216)</f>
        <v>675000</v>
      </c>
      <c r="T1216" s="217"/>
      <c r="U1216" s="217"/>
      <c r="V1216" s="217">
        <v>700000</v>
      </c>
      <c r="W1216" s="217"/>
      <c r="X1216" s="217"/>
      <c r="Y1216" s="217"/>
      <c r="Z1216" s="217">
        <f>SUM(U1216:Y1216)</f>
        <v>700000</v>
      </c>
      <c r="AA1216" s="217">
        <f>Z1216+T1216</f>
        <v>700000</v>
      </c>
      <c r="AB1216" s="217"/>
      <c r="AC1216" s="217"/>
      <c r="AD1216" s="217"/>
      <c r="AE1216" s="217"/>
      <c r="AF1216" s="217"/>
      <c r="AG1216" s="217">
        <f t="shared" ref="AG1216" si="1369">SUM(AB1216:AF1216)</f>
        <v>0</v>
      </c>
      <c r="AH1216" s="217">
        <f t="shared" ref="AH1216" si="1370">AG1216+AA1216</f>
        <v>700000</v>
      </c>
      <c r="AI1216" s="217">
        <v>700000</v>
      </c>
      <c r="AJ1216" s="764">
        <f>AI1216/AH1216*100</f>
        <v>100</v>
      </c>
    </row>
    <row r="1217" spans="1:36" ht="14">
      <c r="A1217" s="40"/>
      <c r="B1217" s="40"/>
      <c r="C1217" s="124"/>
      <c r="D1217" s="124"/>
      <c r="E1217" s="124"/>
      <c r="F1217" s="41"/>
      <c r="G1217" s="41"/>
      <c r="H1217" s="66"/>
      <c r="I1217" s="125"/>
      <c r="J1217" s="126"/>
      <c r="K1217" s="204"/>
      <c r="L1217" s="205"/>
      <c r="M1217" s="205"/>
      <c r="N1217" s="205"/>
      <c r="O1217" s="205"/>
      <c r="P1217" s="205"/>
      <c r="Q1217" s="205"/>
      <c r="R1217" s="205"/>
      <c r="S1217" s="205"/>
      <c r="T1217" s="205"/>
      <c r="U1217" s="205"/>
      <c r="V1217" s="205"/>
      <c r="W1217" s="205"/>
      <c r="X1217" s="205"/>
      <c r="Y1217" s="205"/>
      <c r="Z1217" s="205"/>
      <c r="AA1217" s="205"/>
      <c r="AB1217" s="205"/>
      <c r="AC1217" s="205"/>
      <c r="AD1217" s="205"/>
      <c r="AE1217" s="205"/>
      <c r="AF1217" s="205"/>
      <c r="AG1217" s="205"/>
      <c r="AH1217" s="205"/>
      <c r="AI1217" s="205"/>
      <c r="AJ1217" s="747"/>
    </row>
    <row r="1218" spans="1:36" ht="14">
      <c r="A1218" s="40"/>
      <c r="B1218" s="40"/>
      <c r="C1218" s="124"/>
      <c r="D1218" s="124"/>
      <c r="E1218" s="124"/>
      <c r="F1218" s="42"/>
      <c r="G1218" s="42"/>
      <c r="H1218" s="129"/>
      <c r="I1218" s="130" t="s">
        <v>37</v>
      </c>
      <c r="J1218" s="131">
        <f>SUM(J1216:J1217)</f>
        <v>1000000</v>
      </c>
      <c r="K1218" s="209"/>
      <c r="L1218" s="218"/>
      <c r="M1218" s="218">
        <f t="shared" ref="M1218:T1218" si="1371">SUM(M1216:M1217)</f>
        <v>0</v>
      </c>
      <c r="N1218" s="218">
        <f t="shared" si="1371"/>
        <v>0</v>
      </c>
      <c r="O1218" s="218">
        <f t="shared" si="1371"/>
        <v>675000</v>
      </c>
      <c r="P1218" s="218">
        <f t="shared" si="1371"/>
        <v>0</v>
      </c>
      <c r="Q1218" s="218">
        <f t="shared" si="1371"/>
        <v>0</v>
      </c>
      <c r="R1218" s="218">
        <f t="shared" si="1371"/>
        <v>0</v>
      </c>
      <c r="S1218" s="218">
        <f t="shared" si="1371"/>
        <v>675000</v>
      </c>
      <c r="T1218" s="218">
        <f t="shared" si="1371"/>
        <v>0</v>
      </c>
      <c r="U1218" s="218"/>
      <c r="V1218" s="218">
        <f t="shared" ref="V1218:X1218" si="1372">SUM(V1216:V1217)</f>
        <v>700000</v>
      </c>
      <c r="W1218" s="218"/>
      <c r="X1218" s="218">
        <f t="shared" si="1372"/>
        <v>0</v>
      </c>
      <c r="Y1218" s="218"/>
      <c r="Z1218" s="218">
        <f t="shared" ref="Z1218:AA1218" si="1373">SUM(Z1216:Z1217)</f>
        <v>700000</v>
      </c>
      <c r="AA1218" s="218">
        <f t="shared" si="1373"/>
        <v>700000</v>
      </c>
      <c r="AB1218" s="218"/>
      <c r="AC1218" s="218">
        <f t="shared" ref="AC1218" si="1374">SUM(AC1216:AC1217)</f>
        <v>0</v>
      </c>
      <c r="AD1218" s="218"/>
      <c r="AE1218" s="218">
        <f t="shared" ref="AE1218" si="1375">SUM(AE1216:AE1217)</f>
        <v>0</v>
      </c>
      <c r="AF1218" s="218"/>
      <c r="AG1218" s="218">
        <f t="shared" ref="AG1218:AI1218" si="1376">SUM(AG1216:AG1217)</f>
        <v>0</v>
      </c>
      <c r="AH1218" s="218">
        <f t="shared" si="1376"/>
        <v>700000</v>
      </c>
      <c r="AI1218" s="218">
        <f t="shared" si="1376"/>
        <v>700000</v>
      </c>
      <c r="AJ1218" s="776">
        <f>AI1218/AH1218*100</f>
        <v>100</v>
      </c>
    </row>
    <row r="1219" spans="1:36" ht="14">
      <c r="A1219" s="40"/>
      <c r="B1219" s="40"/>
      <c r="C1219" s="124"/>
      <c r="D1219" s="124"/>
      <c r="E1219" s="124"/>
      <c r="F1219" s="41"/>
      <c r="G1219" s="41"/>
      <c r="H1219" s="66"/>
      <c r="I1219" s="41"/>
      <c r="J1219" s="132"/>
      <c r="K1219" s="210"/>
      <c r="L1219" s="219"/>
      <c r="M1219" s="219"/>
      <c r="N1219" s="219"/>
      <c r="O1219" s="219"/>
      <c r="P1219" s="219"/>
      <c r="Q1219" s="219"/>
      <c r="R1219" s="219"/>
      <c r="S1219" s="219"/>
      <c r="T1219" s="219"/>
      <c r="U1219" s="219"/>
      <c r="V1219" s="219"/>
      <c r="W1219" s="219"/>
      <c r="X1219" s="219"/>
      <c r="Y1219" s="219"/>
      <c r="Z1219" s="219"/>
      <c r="AA1219" s="219"/>
      <c r="AB1219" s="219"/>
      <c r="AC1219" s="219"/>
      <c r="AD1219" s="219"/>
      <c r="AE1219" s="219"/>
      <c r="AF1219" s="219"/>
      <c r="AG1219" s="219"/>
      <c r="AH1219" s="219"/>
      <c r="AI1219" s="219"/>
      <c r="AJ1219" s="777"/>
    </row>
    <row r="1220" spans="1:36" ht="14">
      <c r="A1220" s="40">
        <v>72</v>
      </c>
      <c r="B1220" s="40"/>
      <c r="C1220" s="124"/>
      <c r="D1220" s="124"/>
      <c r="E1220" s="124"/>
      <c r="F1220" s="976" t="s">
        <v>653</v>
      </c>
      <c r="G1220" s="935"/>
      <c r="H1220" s="935"/>
      <c r="I1220" s="936"/>
      <c r="J1220" s="132"/>
      <c r="K1220" s="210"/>
      <c r="L1220" s="219"/>
      <c r="M1220" s="219"/>
      <c r="N1220" s="219"/>
      <c r="O1220" s="219"/>
      <c r="P1220" s="219"/>
      <c r="Q1220" s="219"/>
      <c r="R1220" s="219"/>
      <c r="S1220" s="219"/>
      <c r="T1220" s="219"/>
      <c r="U1220" s="219"/>
      <c r="V1220" s="219"/>
      <c r="W1220" s="219"/>
      <c r="X1220" s="219"/>
      <c r="Y1220" s="219"/>
      <c r="Z1220" s="219"/>
      <c r="AA1220" s="219"/>
      <c r="AB1220" s="219"/>
      <c r="AC1220" s="219"/>
      <c r="AD1220" s="219"/>
      <c r="AE1220" s="219"/>
      <c r="AF1220" s="219"/>
      <c r="AG1220" s="219"/>
      <c r="AH1220" s="219"/>
      <c r="AI1220" s="219"/>
      <c r="AJ1220" s="777"/>
    </row>
    <row r="1221" spans="1:36" ht="14">
      <c r="A1221" s="40"/>
      <c r="B1221" s="40"/>
      <c r="C1221" s="124">
        <v>1</v>
      </c>
      <c r="D1221" s="124"/>
      <c r="E1221" s="124"/>
      <c r="F1221" s="41"/>
      <c r="G1221" s="41"/>
      <c r="H1221" s="66" t="s">
        <v>35</v>
      </c>
      <c r="I1221" s="125"/>
      <c r="J1221" s="126"/>
      <c r="K1221" s="204"/>
      <c r="L1221" s="205"/>
      <c r="M1221" s="205"/>
      <c r="N1221" s="205"/>
      <c r="O1221" s="205"/>
      <c r="P1221" s="205"/>
      <c r="Q1221" s="205"/>
      <c r="R1221" s="205"/>
      <c r="S1221" s="205"/>
      <c r="T1221" s="205"/>
      <c r="U1221" s="205"/>
      <c r="V1221" s="205"/>
      <c r="W1221" s="205"/>
      <c r="X1221" s="205"/>
      <c r="Y1221" s="205"/>
      <c r="Z1221" s="205"/>
      <c r="AA1221" s="205"/>
      <c r="AB1221" s="205"/>
      <c r="AC1221" s="205"/>
      <c r="AD1221" s="205"/>
      <c r="AE1221" s="205"/>
      <c r="AF1221" s="205"/>
      <c r="AG1221" s="205"/>
      <c r="AH1221" s="205"/>
      <c r="AI1221" s="205"/>
      <c r="AJ1221" s="747"/>
    </row>
    <row r="1222" spans="1:36" ht="14">
      <c r="A1222" s="40"/>
      <c r="B1222" s="40"/>
      <c r="C1222" s="124"/>
      <c r="D1222" s="124">
        <v>5</v>
      </c>
      <c r="E1222" s="124" t="s">
        <v>198</v>
      </c>
      <c r="F1222" s="41"/>
      <c r="G1222" s="41"/>
      <c r="H1222" s="66"/>
      <c r="I1222" s="125" t="s">
        <v>185</v>
      </c>
      <c r="J1222" s="128">
        <v>1000000</v>
      </c>
      <c r="K1222" s="204"/>
      <c r="L1222" s="217"/>
      <c r="M1222" s="217"/>
      <c r="N1222" s="217"/>
      <c r="O1222" s="217">
        <v>675000</v>
      </c>
      <c r="P1222" s="217"/>
      <c r="Q1222" s="217"/>
      <c r="R1222" s="217"/>
      <c r="S1222" s="217">
        <f t="shared" ref="S1222" si="1377">SUM(M1222:R1222)</f>
        <v>675000</v>
      </c>
      <c r="T1222" s="217"/>
      <c r="U1222" s="217"/>
      <c r="V1222" s="217">
        <v>15000000</v>
      </c>
      <c r="W1222" s="217"/>
      <c r="X1222" s="217"/>
      <c r="Y1222" s="217"/>
      <c r="Z1222" s="217">
        <f>SUM(U1222:Y1222)</f>
        <v>15000000</v>
      </c>
      <c r="AA1222" s="217">
        <f>Z1222+T1222</f>
        <v>15000000</v>
      </c>
      <c r="AB1222" s="217"/>
      <c r="AC1222" s="217"/>
      <c r="AD1222" s="217"/>
      <c r="AE1222" s="217"/>
      <c r="AF1222" s="217"/>
      <c r="AG1222" s="217">
        <f t="shared" ref="AG1222" si="1378">SUM(AB1222:AF1222)</f>
        <v>0</v>
      </c>
      <c r="AH1222" s="217">
        <f t="shared" ref="AH1222" si="1379">AG1222+AA1222</f>
        <v>15000000</v>
      </c>
      <c r="AI1222" s="217">
        <v>15000000</v>
      </c>
      <c r="AJ1222" s="764">
        <f>AI1222/AH1222*100</f>
        <v>100</v>
      </c>
    </row>
    <row r="1223" spans="1:36" ht="14">
      <c r="A1223" s="40"/>
      <c r="B1223" s="40"/>
      <c r="C1223" s="124"/>
      <c r="D1223" s="124"/>
      <c r="E1223" s="124"/>
      <c r="F1223" s="41"/>
      <c r="G1223" s="41"/>
      <c r="H1223" s="66"/>
      <c r="I1223" s="125"/>
      <c r="J1223" s="126"/>
      <c r="K1223" s="204"/>
      <c r="L1223" s="205"/>
      <c r="M1223" s="205"/>
      <c r="N1223" s="205"/>
      <c r="O1223" s="205"/>
      <c r="P1223" s="205"/>
      <c r="Q1223" s="205"/>
      <c r="R1223" s="205"/>
      <c r="S1223" s="205"/>
      <c r="T1223" s="205"/>
      <c r="U1223" s="205"/>
      <c r="V1223" s="205"/>
      <c r="W1223" s="205"/>
      <c r="X1223" s="205"/>
      <c r="Y1223" s="205"/>
      <c r="Z1223" s="205"/>
      <c r="AA1223" s="205"/>
      <c r="AB1223" s="205"/>
      <c r="AC1223" s="205"/>
      <c r="AD1223" s="205"/>
      <c r="AE1223" s="205"/>
      <c r="AF1223" s="205"/>
      <c r="AG1223" s="205"/>
      <c r="AH1223" s="205"/>
      <c r="AI1223" s="205"/>
      <c r="AJ1223" s="747"/>
    </row>
    <row r="1224" spans="1:36" ht="14">
      <c r="A1224" s="40"/>
      <c r="B1224" s="40"/>
      <c r="C1224" s="124"/>
      <c r="D1224" s="124"/>
      <c r="E1224" s="124"/>
      <c r="F1224" s="42"/>
      <c r="G1224" s="42"/>
      <c r="H1224" s="129"/>
      <c r="I1224" s="130" t="s">
        <v>37</v>
      </c>
      <c r="J1224" s="131">
        <f>SUM(J1222:J1223)</f>
        <v>1000000</v>
      </c>
      <c r="K1224" s="209"/>
      <c r="L1224" s="218"/>
      <c r="M1224" s="218">
        <f t="shared" ref="M1224:T1224" si="1380">SUM(M1222:M1223)</f>
        <v>0</v>
      </c>
      <c r="N1224" s="218">
        <f t="shared" si="1380"/>
        <v>0</v>
      </c>
      <c r="O1224" s="218">
        <f t="shared" si="1380"/>
        <v>675000</v>
      </c>
      <c r="P1224" s="218">
        <f t="shared" si="1380"/>
        <v>0</v>
      </c>
      <c r="Q1224" s="218">
        <f t="shared" si="1380"/>
        <v>0</v>
      </c>
      <c r="R1224" s="218">
        <f t="shared" si="1380"/>
        <v>0</v>
      </c>
      <c r="S1224" s="218">
        <f t="shared" si="1380"/>
        <v>675000</v>
      </c>
      <c r="T1224" s="218">
        <f t="shared" si="1380"/>
        <v>0</v>
      </c>
      <c r="U1224" s="218"/>
      <c r="V1224" s="218">
        <f t="shared" ref="V1224" si="1381">SUM(V1222:V1223)</f>
        <v>15000000</v>
      </c>
      <c r="W1224" s="218"/>
      <c r="X1224" s="218">
        <f t="shared" ref="X1224" si="1382">SUM(X1222:X1223)</f>
        <v>0</v>
      </c>
      <c r="Y1224" s="218"/>
      <c r="Z1224" s="218">
        <f t="shared" ref="Z1224:AA1224" si="1383">SUM(Z1222:Z1223)</f>
        <v>15000000</v>
      </c>
      <c r="AA1224" s="218">
        <f t="shared" si="1383"/>
        <v>15000000</v>
      </c>
      <c r="AB1224" s="218"/>
      <c r="AC1224" s="218">
        <f t="shared" ref="AC1224" si="1384">SUM(AC1222:AC1223)</f>
        <v>0</v>
      </c>
      <c r="AD1224" s="218"/>
      <c r="AE1224" s="218">
        <f t="shared" ref="AE1224" si="1385">SUM(AE1222:AE1223)</f>
        <v>0</v>
      </c>
      <c r="AF1224" s="218"/>
      <c r="AG1224" s="218">
        <f t="shared" ref="AG1224:AH1224" si="1386">SUM(AG1222:AG1223)</f>
        <v>0</v>
      </c>
      <c r="AH1224" s="218">
        <f t="shared" si="1386"/>
        <v>15000000</v>
      </c>
      <c r="AI1224" s="218">
        <f t="shared" ref="AI1224" si="1387">SUM(AI1222:AI1223)</f>
        <v>15000000</v>
      </c>
      <c r="AJ1224" s="776">
        <f>AI1224/AH1224*100</f>
        <v>100</v>
      </c>
    </row>
    <row r="1225" spans="1:36" ht="13" customHeight="1">
      <c r="A1225" s="40"/>
      <c r="B1225" s="40"/>
      <c r="C1225" s="124"/>
      <c r="D1225" s="124"/>
      <c r="E1225" s="124"/>
      <c r="F1225" s="41"/>
      <c r="G1225" s="41"/>
      <c r="H1225" s="66"/>
      <c r="I1225" s="41"/>
      <c r="J1225" s="132"/>
      <c r="K1225" s="210"/>
      <c r="L1225" s="219"/>
      <c r="M1225" s="219"/>
      <c r="N1225" s="219"/>
      <c r="O1225" s="219"/>
      <c r="P1225" s="219"/>
      <c r="Q1225" s="219"/>
      <c r="R1225" s="219"/>
      <c r="S1225" s="219"/>
      <c r="T1225" s="219"/>
      <c r="U1225" s="219"/>
      <c r="V1225" s="219"/>
      <c r="W1225" s="219"/>
      <c r="X1225" s="219"/>
      <c r="Y1225" s="219"/>
      <c r="Z1225" s="219"/>
      <c r="AA1225" s="219"/>
      <c r="AB1225" s="219"/>
      <c r="AC1225" s="219"/>
      <c r="AD1225" s="219"/>
      <c r="AE1225" s="219"/>
      <c r="AF1225" s="219"/>
      <c r="AG1225" s="219"/>
      <c r="AH1225" s="219"/>
      <c r="AI1225" s="219"/>
      <c r="AJ1225" s="777"/>
    </row>
    <row r="1226" spans="1:36" ht="32.5" customHeight="1">
      <c r="A1226" s="40">
        <v>73</v>
      </c>
      <c r="B1226" s="40"/>
      <c r="C1226" s="124"/>
      <c r="D1226" s="124"/>
      <c r="E1226" s="124"/>
      <c r="F1226" s="976" t="s">
        <v>699</v>
      </c>
      <c r="G1226" s="935"/>
      <c r="H1226" s="935"/>
      <c r="I1226" s="977"/>
      <c r="J1226" s="132"/>
      <c r="K1226" s="210"/>
      <c r="L1226" s="219"/>
      <c r="M1226" s="219"/>
      <c r="N1226" s="219"/>
      <c r="O1226" s="219"/>
      <c r="P1226" s="219"/>
      <c r="Q1226" s="219"/>
      <c r="R1226" s="219"/>
      <c r="S1226" s="219"/>
      <c r="T1226" s="219"/>
      <c r="U1226" s="219"/>
      <c r="V1226" s="219"/>
      <c r="W1226" s="219"/>
      <c r="X1226" s="219"/>
      <c r="Y1226" s="219"/>
      <c r="Z1226" s="219"/>
      <c r="AA1226" s="219"/>
      <c r="AB1226" s="219"/>
      <c r="AC1226" s="219"/>
      <c r="AD1226" s="219"/>
      <c r="AE1226" s="219"/>
      <c r="AF1226" s="219"/>
      <c r="AG1226" s="219"/>
      <c r="AH1226" s="219"/>
      <c r="AI1226" s="219"/>
      <c r="AJ1226" s="777"/>
    </row>
    <row r="1227" spans="1:36" ht="13" customHeight="1">
      <c r="A1227" s="40"/>
      <c r="B1227" s="40"/>
      <c r="C1227" s="124">
        <v>1</v>
      </c>
      <c r="D1227" s="124"/>
      <c r="E1227" s="124"/>
      <c r="F1227" s="41"/>
      <c r="G1227" s="41"/>
      <c r="H1227" s="66" t="s">
        <v>35</v>
      </c>
      <c r="I1227" s="125"/>
      <c r="J1227" s="126"/>
      <c r="K1227" s="204"/>
      <c r="L1227" s="205"/>
      <c r="M1227" s="205"/>
      <c r="N1227" s="205"/>
      <c r="O1227" s="205"/>
      <c r="P1227" s="205"/>
      <c r="Q1227" s="205"/>
      <c r="R1227" s="205"/>
      <c r="S1227" s="205"/>
      <c r="T1227" s="205"/>
      <c r="U1227" s="205"/>
      <c r="V1227" s="205"/>
      <c r="W1227" s="205"/>
      <c r="X1227" s="205"/>
      <c r="Y1227" s="205"/>
      <c r="Z1227" s="205"/>
      <c r="AA1227" s="205"/>
      <c r="AB1227" s="205"/>
      <c r="AC1227" s="205"/>
      <c r="AD1227" s="205"/>
      <c r="AE1227" s="205"/>
      <c r="AF1227" s="205"/>
      <c r="AG1227" s="205"/>
      <c r="AH1227" s="205"/>
      <c r="AI1227" s="205"/>
      <c r="AJ1227" s="747"/>
    </row>
    <row r="1228" spans="1:36" ht="13" customHeight="1">
      <c r="A1228" s="40"/>
      <c r="B1228" s="40"/>
      <c r="C1228" s="124"/>
      <c r="D1228" s="465">
        <v>3</v>
      </c>
      <c r="E1228" s="465" t="s">
        <v>198</v>
      </c>
      <c r="F1228" s="125"/>
      <c r="G1228" s="481"/>
      <c r="H1228" s="125"/>
      <c r="I1228" s="66" t="s">
        <v>116</v>
      </c>
      <c r="J1228" s="128">
        <v>12000000</v>
      </c>
      <c r="K1228" s="204"/>
      <c r="L1228" s="217"/>
      <c r="M1228" s="217">
        <v>5900000</v>
      </c>
      <c r="N1228" s="217"/>
      <c r="O1228" s="217"/>
      <c r="P1228" s="217"/>
      <c r="Q1228" s="217">
        <v>-2643250</v>
      </c>
      <c r="R1228" s="217"/>
      <c r="S1228" s="217">
        <f t="shared" ref="S1228" si="1388">SUM(M1228:R1228)</f>
        <v>3256750</v>
      </c>
      <c r="T1228" s="217">
        <f t="shared" ref="T1228" si="1389">S1228+L1228</f>
        <v>3256750</v>
      </c>
      <c r="U1228" s="217"/>
      <c r="V1228" s="217"/>
      <c r="W1228" s="217"/>
      <c r="X1228" s="217"/>
      <c r="Y1228" s="217"/>
      <c r="Z1228" s="217">
        <f>SUM(U1228:Y1228)</f>
        <v>0</v>
      </c>
      <c r="AA1228" s="217"/>
      <c r="AB1228" s="217"/>
      <c r="AC1228" s="217"/>
      <c r="AD1228" s="217">
        <v>200000</v>
      </c>
      <c r="AE1228" s="217"/>
      <c r="AF1228" s="217"/>
      <c r="AG1228" s="217">
        <f t="shared" ref="AG1228" si="1390">SUM(AB1228:AF1228)</f>
        <v>200000</v>
      </c>
      <c r="AH1228" s="217">
        <f t="shared" ref="AH1228" si="1391">AG1228+AA1228</f>
        <v>200000</v>
      </c>
      <c r="AI1228" s="217"/>
      <c r="AJ1228" s="764"/>
    </row>
    <row r="1229" spans="1:36" ht="14">
      <c r="A1229" s="40"/>
      <c r="B1229" s="40"/>
      <c r="C1229" s="124"/>
      <c r="D1229" s="124"/>
      <c r="E1229" s="124"/>
      <c r="F1229" s="41"/>
      <c r="G1229" s="41"/>
      <c r="H1229" s="66"/>
      <c r="I1229" s="125"/>
      <c r="J1229" s="126"/>
      <c r="K1229" s="204"/>
      <c r="L1229" s="205"/>
      <c r="M1229" s="205"/>
      <c r="N1229" s="205"/>
      <c r="O1229" s="205"/>
      <c r="P1229" s="205"/>
      <c r="Q1229" s="205"/>
      <c r="R1229" s="205"/>
      <c r="S1229" s="205"/>
      <c r="T1229" s="205"/>
      <c r="U1229" s="205"/>
      <c r="V1229" s="205"/>
      <c r="W1229" s="205"/>
      <c r="X1229" s="205"/>
      <c r="Y1229" s="205"/>
      <c r="Z1229" s="205"/>
      <c r="AA1229" s="205"/>
      <c r="AB1229" s="205"/>
      <c r="AC1229" s="205"/>
      <c r="AD1229" s="205"/>
      <c r="AE1229" s="205"/>
      <c r="AF1229" s="205"/>
      <c r="AG1229" s="205"/>
      <c r="AH1229" s="205"/>
      <c r="AI1229" s="205"/>
      <c r="AJ1229" s="747"/>
    </row>
    <row r="1230" spans="1:36" ht="14">
      <c r="A1230" s="40"/>
      <c r="B1230" s="40"/>
      <c r="C1230" s="124"/>
      <c r="D1230" s="124"/>
      <c r="E1230" s="124"/>
      <c r="F1230" s="42"/>
      <c r="G1230" s="42"/>
      <c r="H1230" s="129"/>
      <c r="I1230" s="130" t="s">
        <v>37</v>
      </c>
      <c r="J1230" s="131">
        <f>SUM(J1228:J1229)</f>
        <v>12000000</v>
      </c>
      <c r="K1230" s="209"/>
      <c r="L1230" s="218">
        <f>SUM(L1228:L1229)</f>
        <v>0</v>
      </c>
      <c r="M1230" s="218">
        <f t="shared" ref="M1230:T1230" si="1392">SUM(M1228:M1229)</f>
        <v>5900000</v>
      </c>
      <c r="N1230" s="218">
        <f t="shared" si="1392"/>
        <v>0</v>
      </c>
      <c r="O1230" s="218">
        <f t="shared" si="1392"/>
        <v>0</v>
      </c>
      <c r="P1230" s="218">
        <f t="shared" si="1392"/>
        <v>0</v>
      </c>
      <c r="Q1230" s="218">
        <f t="shared" si="1392"/>
        <v>-2643250</v>
      </c>
      <c r="R1230" s="218">
        <f t="shared" si="1392"/>
        <v>0</v>
      </c>
      <c r="S1230" s="218">
        <f t="shared" si="1392"/>
        <v>3256750</v>
      </c>
      <c r="T1230" s="218">
        <f t="shared" si="1392"/>
        <v>3256750</v>
      </c>
      <c r="U1230" s="218"/>
      <c r="V1230" s="218"/>
      <c r="W1230" s="218"/>
      <c r="X1230" s="218"/>
      <c r="Y1230" s="218"/>
      <c r="Z1230" s="218">
        <f t="shared" ref="Z1230:AA1230" si="1393">SUM(Z1228:Z1229)</f>
        <v>0</v>
      </c>
      <c r="AA1230" s="218">
        <f t="shared" si="1393"/>
        <v>0</v>
      </c>
      <c r="AB1230" s="218"/>
      <c r="AC1230" s="218"/>
      <c r="AD1230" s="218">
        <f t="shared" ref="AD1230:AE1230" si="1394">SUM(AD1228:AD1229)</f>
        <v>200000</v>
      </c>
      <c r="AE1230" s="218">
        <f t="shared" si="1394"/>
        <v>0</v>
      </c>
      <c r="AF1230" s="218"/>
      <c r="AG1230" s="218">
        <f t="shared" ref="AG1230" si="1395">SUM(AG1228:AG1229)</f>
        <v>200000</v>
      </c>
      <c r="AH1230" s="218">
        <f>SUM(AH1228:AH1229)</f>
        <v>200000</v>
      </c>
      <c r="AI1230" s="218"/>
      <c r="AJ1230" s="776"/>
    </row>
    <row r="1231" spans="1:36" ht="14">
      <c r="A1231" s="160"/>
      <c r="B1231" s="160"/>
      <c r="C1231" s="161"/>
      <c r="D1231" s="161"/>
      <c r="E1231" s="161"/>
      <c r="F1231" s="41"/>
      <c r="G1231" s="41"/>
      <c r="H1231" s="66"/>
      <c r="I1231" s="41"/>
      <c r="J1231" s="219"/>
      <c r="K1231" s="801"/>
      <c r="L1231" s="219"/>
      <c r="M1231" s="219"/>
      <c r="N1231" s="219"/>
      <c r="O1231" s="219"/>
      <c r="P1231" s="219"/>
      <c r="Q1231" s="219"/>
      <c r="R1231" s="219"/>
      <c r="S1231" s="219"/>
      <c r="T1231" s="219"/>
      <c r="U1231" s="219"/>
      <c r="V1231" s="219"/>
      <c r="W1231" s="219"/>
      <c r="X1231" s="219"/>
      <c r="Y1231" s="219"/>
      <c r="Z1231" s="219"/>
      <c r="AA1231" s="219"/>
      <c r="AB1231" s="219"/>
      <c r="AC1231" s="219"/>
      <c r="AD1231" s="219"/>
      <c r="AE1231" s="219"/>
      <c r="AF1231" s="219"/>
      <c r="AG1231" s="219"/>
      <c r="AH1231" s="219"/>
      <c r="AI1231" s="219"/>
      <c r="AJ1231" s="777"/>
    </row>
    <row r="1232" spans="1:36" ht="32.5" customHeight="1">
      <c r="A1232" s="40">
        <v>74</v>
      </c>
      <c r="B1232" s="40"/>
      <c r="C1232" s="124"/>
      <c r="D1232" s="124"/>
      <c r="E1232" s="124"/>
      <c r="F1232" s="976" t="s">
        <v>700</v>
      </c>
      <c r="G1232" s="935"/>
      <c r="H1232" s="935"/>
      <c r="I1232" s="977"/>
      <c r="J1232" s="132"/>
      <c r="K1232" s="210"/>
      <c r="L1232" s="219"/>
      <c r="M1232" s="219"/>
      <c r="N1232" s="219"/>
      <c r="O1232" s="219"/>
      <c r="P1232" s="219"/>
      <c r="Q1232" s="219"/>
      <c r="R1232" s="219"/>
      <c r="S1232" s="219"/>
      <c r="T1232" s="219"/>
      <c r="U1232" s="219"/>
      <c r="V1232" s="219"/>
      <c r="W1232" s="219"/>
      <c r="X1232" s="219"/>
      <c r="Y1232" s="219"/>
      <c r="Z1232" s="219"/>
      <c r="AA1232" s="219"/>
      <c r="AB1232" s="219"/>
      <c r="AC1232" s="219"/>
      <c r="AD1232" s="219"/>
      <c r="AE1232" s="219"/>
      <c r="AF1232" s="219"/>
      <c r="AG1232" s="219"/>
      <c r="AH1232" s="219"/>
      <c r="AI1232" s="219"/>
      <c r="AJ1232" s="777"/>
    </row>
    <row r="1233" spans="1:36" ht="13" customHeight="1">
      <c r="A1233" s="40"/>
      <c r="B1233" s="40"/>
      <c r="C1233" s="124">
        <v>1</v>
      </c>
      <c r="D1233" s="124"/>
      <c r="E1233" s="124"/>
      <c r="F1233" s="41"/>
      <c r="G1233" s="41"/>
      <c r="H1233" s="66" t="s">
        <v>35</v>
      </c>
      <c r="I1233" s="125"/>
      <c r="J1233" s="126"/>
      <c r="K1233" s="204"/>
      <c r="L1233" s="205"/>
      <c r="M1233" s="205"/>
      <c r="N1233" s="205"/>
      <c r="O1233" s="205"/>
      <c r="P1233" s="205"/>
      <c r="Q1233" s="205"/>
      <c r="R1233" s="205"/>
      <c r="S1233" s="205"/>
      <c r="T1233" s="205"/>
      <c r="U1233" s="205"/>
      <c r="V1233" s="205"/>
      <c r="W1233" s="205"/>
      <c r="X1233" s="205"/>
      <c r="Y1233" s="205"/>
      <c r="Z1233" s="205"/>
      <c r="AA1233" s="205"/>
      <c r="AB1233" s="205"/>
      <c r="AC1233" s="205"/>
      <c r="AD1233" s="205"/>
      <c r="AE1233" s="205"/>
      <c r="AF1233" s="205"/>
      <c r="AG1233" s="205"/>
      <c r="AH1233" s="205"/>
      <c r="AI1233" s="205"/>
      <c r="AJ1233" s="747"/>
    </row>
    <row r="1234" spans="1:36" ht="13" customHeight="1">
      <c r="A1234" s="40"/>
      <c r="B1234" s="40"/>
      <c r="C1234" s="124"/>
      <c r="D1234" s="465">
        <v>3</v>
      </c>
      <c r="E1234" s="465" t="s">
        <v>199</v>
      </c>
      <c r="F1234" s="125"/>
      <c r="G1234" s="481"/>
      <c r="H1234" s="125"/>
      <c r="I1234" s="66" t="s">
        <v>116</v>
      </c>
      <c r="J1234" s="128">
        <v>12000000</v>
      </c>
      <c r="K1234" s="204"/>
      <c r="L1234" s="217"/>
      <c r="M1234" s="217">
        <v>5900000</v>
      </c>
      <c r="N1234" s="217"/>
      <c r="O1234" s="217"/>
      <c r="P1234" s="217"/>
      <c r="Q1234" s="217">
        <v>-2643250</v>
      </c>
      <c r="R1234" s="217"/>
      <c r="S1234" s="217">
        <f t="shared" ref="S1234" si="1396">SUM(M1234:R1234)</f>
        <v>3256750</v>
      </c>
      <c r="T1234" s="217">
        <f t="shared" ref="T1234" si="1397">S1234+L1234</f>
        <v>3256750</v>
      </c>
      <c r="U1234" s="217"/>
      <c r="V1234" s="217"/>
      <c r="W1234" s="217"/>
      <c r="X1234" s="217"/>
      <c r="Y1234" s="217"/>
      <c r="Z1234" s="217">
        <f>SUM(U1234:Y1234)</f>
        <v>0</v>
      </c>
      <c r="AA1234" s="217"/>
      <c r="AB1234" s="217">
        <v>1980000</v>
      </c>
      <c r="AC1234" s="217"/>
      <c r="AD1234" s="217"/>
      <c r="AE1234" s="217"/>
      <c r="AF1234" s="217"/>
      <c r="AG1234" s="217">
        <f t="shared" ref="AG1234" si="1398">SUM(AB1234:AF1234)</f>
        <v>1980000</v>
      </c>
      <c r="AH1234" s="217">
        <f t="shared" ref="AH1234" si="1399">AG1234+AA1234</f>
        <v>1980000</v>
      </c>
      <c r="AI1234" s="217"/>
      <c r="AJ1234" s="764"/>
    </row>
    <row r="1235" spans="1:36" ht="14">
      <c r="A1235" s="40"/>
      <c r="B1235" s="40"/>
      <c r="C1235" s="124"/>
      <c r="D1235" s="124"/>
      <c r="E1235" s="124"/>
      <c r="F1235" s="41"/>
      <c r="G1235" s="41"/>
      <c r="H1235" s="66"/>
      <c r="I1235" s="125"/>
      <c r="J1235" s="126"/>
      <c r="K1235" s="204"/>
      <c r="L1235" s="205"/>
      <c r="M1235" s="205"/>
      <c r="N1235" s="205"/>
      <c r="O1235" s="205"/>
      <c r="P1235" s="205"/>
      <c r="Q1235" s="205"/>
      <c r="R1235" s="205"/>
      <c r="S1235" s="205"/>
      <c r="T1235" s="205"/>
      <c r="U1235" s="205"/>
      <c r="V1235" s="205"/>
      <c r="W1235" s="205"/>
      <c r="X1235" s="205"/>
      <c r="Y1235" s="205"/>
      <c r="Z1235" s="205"/>
      <c r="AA1235" s="205"/>
      <c r="AB1235" s="205"/>
      <c r="AC1235" s="205"/>
      <c r="AD1235" s="205"/>
      <c r="AE1235" s="205"/>
      <c r="AF1235" s="205"/>
      <c r="AG1235" s="205"/>
      <c r="AH1235" s="205"/>
      <c r="AI1235" s="205"/>
      <c r="AJ1235" s="747"/>
    </row>
    <row r="1236" spans="1:36" ht="14">
      <c r="A1236" s="40"/>
      <c r="B1236" s="40"/>
      <c r="C1236" s="124"/>
      <c r="D1236" s="124"/>
      <c r="E1236" s="124"/>
      <c r="F1236" s="42"/>
      <c r="G1236" s="42"/>
      <c r="H1236" s="129"/>
      <c r="I1236" s="130" t="s">
        <v>37</v>
      </c>
      <c r="J1236" s="131">
        <f>SUM(J1234:J1235)</f>
        <v>12000000</v>
      </c>
      <c r="K1236" s="209"/>
      <c r="L1236" s="218">
        <f>SUM(L1234:L1235)</f>
        <v>0</v>
      </c>
      <c r="M1236" s="218">
        <f t="shared" ref="M1236:T1236" si="1400">SUM(M1234:M1235)</f>
        <v>5900000</v>
      </c>
      <c r="N1236" s="218">
        <f t="shared" si="1400"/>
        <v>0</v>
      </c>
      <c r="O1236" s="218">
        <f t="shared" si="1400"/>
        <v>0</v>
      </c>
      <c r="P1236" s="218">
        <f t="shared" si="1400"/>
        <v>0</v>
      </c>
      <c r="Q1236" s="218">
        <f t="shared" si="1400"/>
        <v>-2643250</v>
      </c>
      <c r="R1236" s="218">
        <f t="shared" si="1400"/>
        <v>0</v>
      </c>
      <c r="S1236" s="218">
        <f t="shared" si="1400"/>
        <v>3256750</v>
      </c>
      <c r="T1236" s="218">
        <f t="shared" si="1400"/>
        <v>3256750</v>
      </c>
      <c r="U1236" s="218"/>
      <c r="V1236" s="218"/>
      <c r="W1236" s="218"/>
      <c r="X1236" s="218"/>
      <c r="Y1236" s="218"/>
      <c r="Z1236" s="218">
        <f t="shared" ref="Z1236:AB1236" si="1401">SUM(Z1234:Z1235)</f>
        <v>0</v>
      </c>
      <c r="AA1236" s="218">
        <f t="shared" si="1401"/>
        <v>0</v>
      </c>
      <c r="AB1236" s="218">
        <f t="shared" si="1401"/>
        <v>1980000</v>
      </c>
      <c r="AC1236" s="218"/>
      <c r="AD1236" s="218"/>
      <c r="AE1236" s="218">
        <f t="shared" ref="AE1236" si="1402">SUM(AE1234:AE1235)</f>
        <v>0</v>
      </c>
      <c r="AF1236" s="218"/>
      <c r="AG1236" s="218">
        <f t="shared" ref="AG1236" si="1403">SUM(AG1234:AG1235)</f>
        <v>1980000</v>
      </c>
      <c r="AH1236" s="218">
        <f>SUM(AH1234:AH1235)</f>
        <v>1980000</v>
      </c>
      <c r="AI1236" s="218"/>
      <c r="AJ1236" s="776"/>
    </row>
    <row r="1237" spans="1:36" s="422" customFormat="1" ht="14">
      <c r="A1237" s="40"/>
      <c r="B1237" s="40"/>
      <c r="C1237" s="124"/>
      <c r="D1237" s="124"/>
      <c r="E1237" s="124"/>
      <c r="F1237" s="41"/>
      <c r="G1237" s="41"/>
      <c r="H1237" s="66"/>
      <c r="I1237" s="41"/>
      <c r="J1237" s="126"/>
      <c r="K1237" s="204"/>
      <c r="L1237" s="205"/>
      <c r="M1237" s="205"/>
      <c r="N1237" s="205"/>
      <c r="O1237" s="205"/>
      <c r="P1237" s="205"/>
      <c r="Q1237" s="205"/>
      <c r="R1237" s="205"/>
      <c r="S1237" s="205"/>
      <c r="T1237" s="205"/>
      <c r="U1237" s="205"/>
      <c r="V1237" s="205"/>
      <c r="W1237" s="205"/>
      <c r="X1237" s="205"/>
      <c r="Y1237" s="205"/>
      <c r="Z1237" s="205"/>
      <c r="AA1237" s="205"/>
      <c r="AB1237" s="205"/>
      <c r="AC1237" s="205"/>
      <c r="AD1237" s="205"/>
      <c r="AE1237" s="205"/>
      <c r="AF1237" s="205"/>
      <c r="AG1237" s="205"/>
      <c r="AH1237" s="205"/>
      <c r="AI1237" s="205"/>
      <c r="AJ1237" s="747"/>
    </row>
    <row r="1238" spans="1:36" s="422" customFormat="1" ht="14">
      <c r="A1238" s="509"/>
      <c r="B1238" s="670"/>
      <c r="C1238" s="510"/>
      <c r="D1238" s="510"/>
      <c r="E1238" s="510"/>
      <c r="F1238" s="937" t="s">
        <v>200</v>
      </c>
      <c r="G1238" s="937"/>
      <c r="H1238" s="937"/>
      <c r="I1238" s="938"/>
      <c r="J1238" s="511">
        <f>J1242-J1240</f>
        <v>2104847383.5</v>
      </c>
      <c r="K1238" s="512">
        <f t="shared" ref="K1238:L1238" si="1404">K1242-K1240</f>
        <v>0</v>
      </c>
      <c r="L1238" s="223">
        <f t="shared" si="1404"/>
        <v>1916402292</v>
      </c>
      <c r="M1238" s="223">
        <f t="shared" ref="M1238:P1238" si="1405">M1242-M1240</f>
        <v>285453133</v>
      </c>
      <c r="N1238" s="223">
        <f t="shared" si="1405"/>
        <v>0</v>
      </c>
      <c r="O1238" s="223">
        <f t="shared" si="1405"/>
        <v>6565136</v>
      </c>
      <c r="P1238" s="223">
        <f t="shared" si="1405"/>
        <v>14131325</v>
      </c>
      <c r="Q1238" s="223">
        <f t="shared" ref="Q1238:S1238" si="1406">Q1242-Q1240</f>
        <v>78599754</v>
      </c>
      <c r="R1238" s="223">
        <f t="shared" si="1406"/>
        <v>0</v>
      </c>
      <c r="S1238" s="223">
        <f t="shared" si="1406"/>
        <v>384749348</v>
      </c>
      <c r="T1238" s="223">
        <f t="shared" ref="T1238:Z1238" si="1407">T1242-T1240</f>
        <v>2301151640</v>
      </c>
      <c r="U1238" s="223">
        <f t="shared" si="1407"/>
        <v>0</v>
      </c>
      <c r="V1238" s="223">
        <f t="shared" ref="V1238:X1238" si="1408">V1242-V1240</f>
        <v>-11411200</v>
      </c>
      <c r="W1238" s="223">
        <f t="shared" si="1408"/>
        <v>40275526</v>
      </c>
      <c r="X1238" s="223">
        <f t="shared" si="1408"/>
        <v>155420329</v>
      </c>
      <c r="Y1238" s="223">
        <f t="shared" ref="Y1238" si="1409">Y1242-Y1240</f>
        <v>0</v>
      </c>
      <c r="Z1238" s="223">
        <f t="shared" si="1407"/>
        <v>184284655</v>
      </c>
      <c r="AA1238" s="223">
        <f t="shared" ref="AA1238:AG1238" si="1410">AA1242-AA1240</f>
        <v>2482976295</v>
      </c>
      <c r="AB1238" s="223">
        <f t="shared" si="1410"/>
        <v>26502000</v>
      </c>
      <c r="AC1238" s="223">
        <f t="shared" si="1410"/>
        <v>7378817</v>
      </c>
      <c r="AD1238" s="223">
        <f t="shared" si="1410"/>
        <v>5019527</v>
      </c>
      <c r="AE1238" s="223">
        <f t="shared" si="1410"/>
        <v>131697470</v>
      </c>
      <c r="AF1238" s="223">
        <f t="shared" si="1410"/>
        <v>0</v>
      </c>
      <c r="AG1238" s="223">
        <f t="shared" si="1410"/>
        <v>170597814</v>
      </c>
      <c r="AH1238" s="223">
        <f t="shared" ref="AH1238:AI1238" si="1411">AH1242-AH1240</f>
        <v>2653574109</v>
      </c>
      <c r="AI1238" s="223">
        <f t="shared" si="1411"/>
        <v>2334812022</v>
      </c>
      <c r="AJ1238" s="778">
        <f>AI1238/AH1238*100</f>
        <v>87.987443579628319</v>
      </c>
    </row>
    <row r="1239" spans="1:36" s="422" customFormat="1" ht="14">
      <c r="A1239" s="513"/>
      <c r="B1239" s="513"/>
      <c r="C1239" s="514"/>
      <c r="D1239" s="514"/>
      <c r="E1239" s="514"/>
      <c r="F1239" s="202"/>
      <c r="G1239" s="202"/>
      <c r="H1239" s="202"/>
      <c r="I1239" s="202"/>
      <c r="J1239" s="223"/>
      <c r="K1239" s="515"/>
      <c r="L1239" s="223"/>
      <c r="M1239" s="223"/>
      <c r="N1239" s="223"/>
      <c r="O1239" s="223"/>
      <c r="P1239" s="223"/>
      <c r="Q1239" s="223"/>
      <c r="R1239" s="223"/>
      <c r="S1239" s="223"/>
      <c r="T1239" s="223"/>
      <c r="U1239" s="223"/>
      <c r="V1239" s="223"/>
      <c r="W1239" s="223"/>
      <c r="X1239" s="223"/>
      <c r="Y1239" s="223"/>
      <c r="Z1239" s="223"/>
      <c r="AA1239" s="223"/>
      <c r="AB1239" s="223"/>
      <c r="AC1239" s="223"/>
      <c r="AD1239" s="223"/>
      <c r="AE1239" s="223"/>
      <c r="AF1239" s="223"/>
      <c r="AG1239" s="223"/>
      <c r="AH1239" s="223"/>
      <c r="AI1239" s="223"/>
      <c r="AJ1239" s="778"/>
    </row>
    <row r="1240" spans="1:36" s="422" customFormat="1" ht="14">
      <c r="A1240" s="509"/>
      <c r="B1240" s="670"/>
      <c r="C1240" s="510"/>
      <c r="D1240" s="510"/>
      <c r="E1240" s="510"/>
      <c r="F1240" s="937" t="s">
        <v>201</v>
      </c>
      <c r="G1240" s="937"/>
      <c r="H1240" s="937"/>
      <c r="I1240" s="938"/>
      <c r="J1240" s="511">
        <f>J1119+J1113+J1107+J1087+J1079+J1071+J1064+J1037+J1031+J1025+J1019+J1013+J1006+J1000+J982+J976+J970+J963+J957+J951+J943+J935+J927+J921+J905+J899+J881+J869+J855+J849+J708+J706+J704+J699+J691+J682+J674+J666+J641+J631+J622+J614+J608+J600+J575+J554+J548+J542+J536+J527+J521+J515+J509+J503+J497+J491+J485+J337+J331+J325+J317+J298+J285+J194</f>
        <v>621389671</v>
      </c>
      <c r="K1240" s="512">
        <f>K1119+K1113+K1107+K1087+K1079+K1071+K1064+K1037+K1031+K1025+K1019+K1013+K1006+K1000+K982+K976+K970+K963+K957+K951+K943+K935+K927+K921+K905+K899+K881+K869+K855+K849+K708+K706+K704+K699+K691+K682+K674+K666+K641+K631+K622+K614+K608+K600+K575+K554+K548+K542+K536+K527+K521+K515+K509+K503+K497+K491+K485+K337+K331+K325+K317+K298+K285+K194</f>
        <v>0</v>
      </c>
      <c r="L1240" s="223">
        <f>L1119+L1113+L1107+L1087+L1079+L1071+L1064+L1037+L1031+L1025+L1019+L1013+L1006+L1000+L982+L976+L970+L963+L957+L951+L943+L935+L927+L921+L905+L899+L881+L869+L855+L849+L708+L706+L704+L699+L691+L682+L674+L666+L641+L631+L622+L614+L608+L600+L575+L554+L548+L542+L536+L527+L521+L515+L509+L503+L497+L491+L485+L337+L331+L325+L317+L298+L285+L194</f>
        <v>621389671</v>
      </c>
      <c r="M1240" s="223">
        <f>M1119+M1113+M1107+M1087+M1079+M1071+M1064+M1037+M1031+M1025+M1019+M1013+M1006+M1000+M982+M976+M970+M963+M957+M951+M943+M935+M927+M921+M905+M899+M881+M869+M855+M849+M708+M706+M704+M699+M691+M682+M674+M666+M641+M631+M622+M614+M608+M600+M575+M554+M548+M542+M536+M527+M521+M515+M509+M503+M497+M491+M485+M337+M331+M325+M317+M298+M285+M194+M1195+M1189+M1181+M1175+M1161+M1147+M1139+M1133+M201+M351</f>
        <v>87829323</v>
      </c>
      <c r="N1240" s="223">
        <f>N1119+N1113+N1107+N1087+N1079+N1071+N1064+N1037+N1031+N1025+N1019+N1013+N1006+N1000+N982+N976+N970+N963+N957+N951+N943+N935+N927+N921+N905+N899+N881+N869+N855+N849+N708+N706+N704+N699+N691+N682+N674+N666+N641+N631+N622+N614+N608+N600+N575+N554+N548+N542+N536+N527+N521+N515+N509+N503+N497+N491+N485+N337+N331+N325+N317+N298+N285+N194+N1195+N1189+N1181+N1175+N1161+N1147+N1139+N1133+N201+N351</f>
        <v>0</v>
      </c>
      <c r="O1240" s="223">
        <f>O1119+O1113+O1107+O1087+O1079+O1071+O1064+O1037+O1031+O1025+O1019+O1013+O1006+O1000+O982+O976+O970+O963+O957+O951+O943+O935+O927+O921+O905+O899+O881+O869+O855+O849+O708+O706+O704+O699+O691+O682+O674+O666+O641+O631+O622+O614+O608+O600+O575+O554+O548+O542+O536+O527+O521+O515+O509+O503+O497+O491+O485+O337+O331+O325+O317+O298+O285+O194+O1195+O1189+O1181+O1175+O1161+O1147+O1139+O1133+O201+O351</f>
        <v>-7575000</v>
      </c>
      <c r="P1240" s="223">
        <f>P1119+P1113+P1107+P1087+P1079+P1071+P1064+P1037+P1031+P1025+P1019+P1013+P1006+P1000+P982+P976+P970+P963+P957+P951+P943+P935+P927+P921+P905+P899+P881+P869+P855+P849+P708+P706+P704+P699+P691+P682+P674+P666+P641+P631+P622+P614+P608+P600+P575+P554+P548+P542+P536+P527+P521+P515+P509+P503+P497+P491+P485+P337+P331+P325+P317+P298+P285+P194+P1195+P1189+P1181+P1175+P1161+P1147+P1139+P1133+P201+P351+P1103</f>
        <v>39310000</v>
      </c>
      <c r="Q1240" s="223">
        <f>Q1119+Q1113+Q1107+Q1087+Q1079+Q1071+Q1064+Q1037+Q1031+Q1025+Q1019+Q1013+Q1006+Q1000+Q982+Q976+Q970+Q963+Q957+Q951+Q943+Q935+Q927+Q921+Q905+Q899+Q881+Q869+Q855+Q849+Q708+Q706+Q704+Q699+Q691+Q682+Q674+Q666+Q641+Q631+Q622+Q614+Q608+Q600+Q575+Q554+Q548+Q542+Q536+Q527+Q521+Q515+Q509+Q503+Q497+Q491+Q485+Q337+Q331+Q325+Q317+Q298+Q285+Q194+Q1195+Q1189+Q1181+Q1175+Q1161+Q1147+Q1139+Q1133+Q201+Q351+Q1103</f>
        <v>3494094</v>
      </c>
      <c r="R1240" s="223">
        <f>R1119+R1113+R1107+R1087+R1079+R1071+R1064+R1037+R1031+R1025+R1019+R1013+R1006+R1000+R982+R976+R970+R963+R957+R951+R943+R935+R927+R921+R905+R899+R881+R869+R855+R849+R708+R706+R704+R699+R691+R682+R674+R666+R641+R631+R622+R614+R608+R600+R575+R554+R548+R542+R536+R527+R521+R515+R509+R503+R497+R491+R485+R337+R331+R325+R317+R298+R285+R194+R1195+R1189+R1181+R1175+R1161+R1147+R1139+R1133+R201+R351+R1103</f>
        <v>0</v>
      </c>
      <c r="S1240" s="223">
        <f>S1119+S1113+S1107+S1087+S1079+S1071+S1064+S1037+S1031+S1025+S1019+S1013+S1006+S1000+S982+S976+S970+S963+S957+S951+S943+S935+S927+S921+S905+S899+S881+S869+S855+S849+S708+S706+S704+S699+S691+S682+S674+S666+S641+S631+S622+S614+S608+S600+S575+S554+S548+S542+S536+S527+S521+S515+S509+S503+S497+S491+S485+S337+S331+S325+S317+S298+S285+S194+S1195+S1189+S1181+S1175+S1161+S1147+S1139+S1133+S201+S351+S1103</f>
        <v>123058417</v>
      </c>
      <c r="T1240" s="223">
        <f>T1119+T1113+T1107+T1087+T1079+T1071+T1064+T1037+T1031+T1025+T1019+T1013+T1006+T1000+T982+T976+T970+T963+T957+T951+T943+T935+T927+T921+T905+T899+T881+T869+T855+T849+T708+T706+T704+T699+T691+T682+T674+T666+T641+T631+T622+T614+T608+T600+T575+T554+T548+T542+T536+T527+T521+T515+T509+T503+T497+T491+T485+T337+T331+T325+T317+T298+T285+T194+T1195+T1189+T1181+T1175+T1161+T1147+T1139+T1133+T201+T351+T1095</f>
        <v>744448088</v>
      </c>
      <c r="U1240" s="223">
        <f t="shared" ref="U1240:AA1240" si="1412">U1119+U1113+U1107+U1087+U1079+U1071+U1064+U1037+U1031+U1025+U1019+U1013+U1006+U1000+U982+U976+U970+U963+U957+U951+U943+U935+U927+U921+U905+U899+U881+U869+U855+U849+U708+U706+U704+U699+U691+U682+U674+U666+U641+U631+U622+U614+U608+U600+U575+U554+U548+U542+U536+U527+U521+U515+U509+U503+U497+U491+U485+U337+U331+U325+U317+U298+U285+U194+U1195+U1189+U1181+U1175+U1161+U1147+U1139+U1133+U201+U351+U1095+U1222+U1216+U1212</f>
        <v>0</v>
      </c>
      <c r="V1240" s="223">
        <f t="shared" si="1412"/>
        <v>24730400</v>
      </c>
      <c r="W1240" s="223">
        <f t="shared" si="1412"/>
        <v>10021555</v>
      </c>
      <c r="X1240" s="223">
        <f t="shared" si="1412"/>
        <v>-2762882</v>
      </c>
      <c r="Y1240" s="223">
        <f t="shared" si="1412"/>
        <v>0</v>
      </c>
      <c r="Z1240" s="223">
        <f t="shared" si="1412"/>
        <v>31989073</v>
      </c>
      <c r="AA1240" s="223">
        <f t="shared" si="1412"/>
        <v>776437161</v>
      </c>
      <c r="AB1240" s="223">
        <f>AB1119+AB1113+AB1107+AB1087+AB1079+AB1071+AB1064+AB1037+AB1031+AB1025+AB1019+AB1013+AB1006+AB1000+AB982+AB976+AB970+AB963+AB957+AB951+AB943+AB935+AB927+AB921+AB905+AB899+AB881+AB869+AB855+AB849+AB708+AB706+AB704+AB699+AB691+AB682+AB674+AB666+AB641+AB631+AB622+AB614+AB608+AB600+AB575+AB554+AB548+AB542+AB536+AB527+AB521+AB515+AB509+AB503+AB497+AB491+AB485+AB337+AB331+AB325+AB317+AB298+AB285+AB194+AB1195+AB1189+AB1181+AB1175+AB1163+AB1147+AB1139+AB1133+AB201+AB351+AB1095+AB1222+AB1216+AB1212+AB1228+AB1099</f>
        <v>0</v>
      </c>
      <c r="AC1240" s="223">
        <f t="shared" ref="AC1240:AI1240" si="1413">AC1119+AC1113+AC1107+AC1087+AC1079+AC1071+AC1064+AC1037+AC1031+AC1025+AC1019+AC1013+AC1006+AC1000+AC982+AC976+AC970+AC963+AC957+AC951+AC943+AC935+AC927+AC921+AC905+AC899+AC881+AC869+AC855+AC849+AC708+AC706+AC704+AC699+AC691+AC682+AC674+AC666+AC641+AC631+AC622+AC614+AC608+AC600+AC575+AC554+AC548+AC542+AC536+AC527+AC521+AC515+AC509+AC503+AC497+AC491+AC485+AC337+AC331+AC325+AC317+AC298+AC285+AC194+AC1195+AC1189+AC1181+AC1175+AC1163+AC1147+AC1139+AC1133+AC201+AC351+AC1095+AC1222+AC1216+AC1212+AC1228+AC1099</f>
        <v>3522500</v>
      </c>
      <c r="AD1240" s="223">
        <f t="shared" si="1413"/>
        <v>-6283346</v>
      </c>
      <c r="AE1240" s="223">
        <f t="shared" si="1413"/>
        <v>-28926705</v>
      </c>
      <c r="AF1240" s="223">
        <f t="shared" si="1413"/>
        <v>0</v>
      </c>
      <c r="AG1240" s="223">
        <f t="shared" si="1413"/>
        <v>-31687551</v>
      </c>
      <c r="AH1240" s="223">
        <f t="shared" si="1413"/>
        <v>744749610</v>
      </c>
      <c r="AI1240" s="223">
        <f t="shared" si="1413"/>
        <v>523416001</v>
      </c>
      <c r="AJ1240" s="778">
        <f>AI1240/AH1240*100</f>
        <v>70.280802295418454</v>
      </c>
    </row>
    <row r="1241" spans="1:36" ht="14">
      <c r="A1241" s="40"/>
      <c r="B1241" s="40"/>
      <c r="C1241" s="124"/>
      <c r="D1241" s="124"/>
      <c r="E1241" s="124"/>
      <c r="F1241" s="41"/>
      <c r="G1241" s="41"/>
      <c r="H1241" s="66"/>
      <c r="I1241" s="41"/>
      <c r="J1241" s="132"/>
      <c r="K1241" s="210"/>
      <c r="L1241" s="219"/>
      <c r="M1241" s="219"/>
      <c r="N1241" s="219"/>
      <c r="O1241" s="219"/>
      <c r="P1241" s="219"/>
      <c r="Q1241" s="219"/>
      <c r="R1241" s="219"/>
      <c r="S1241" s="219"/>
      <c r="T1241" s="219"/>
      <c r="U1241" s="219"/>
      <c r="V1241" s="219"/>
      <c r="W1241" s="219"/>
      <c r="X1241" s="219"/>
      <c r="Y1241" s="219"/>
      <c r="Z1241" s="219"/>
      <c r="AA1241" s="219"/>
      <c r="AB1241" s="219"/>
      <c r="AC1241" s="219"/>
      <c r="AD1241" s="219"/>
      <c r="AE1241" s="219"/>
      <c r="AF1241" s="219"/>
      <c r="AG1241" s="219"/>
      <c r="AH1241" s="219"/>
      <c r="AI1241" s="219"/>
      <c r="AJ1241" s="777"/>
    </row>
    <row r="1242" spans="1:36" ht="15.5">
      <c r="A1242" s="470"/>
      <c r="B1242" s="471"/>
      <c r="C1242" s="516"/>
      <c r="D1242" s="516"/>
      <c r="E1242" s="516"/>
      <c r="F1242" s="940" t="s">
        <v>701</v>
      </c>
      <c r="G1242" s="940"/>
      <c r="H1242" s="940"/>
      <c r="I1242" s="941"/>
      <c r="J1242" s="517">
        <f>SUM(J1104:J1127)/2+J1103+SUM(J1040:J1064)/2+J1039+SUM(J865:J1006)/2+J863+SUM(J818:J829)/2+J816+SUM(J678:J717)/2+J676+J641+J633+J568+J556+J478+J451+J439+J415+J406</f>
        <v>2726237054.5</v>
      </c>
      <c r="K1242" s="518">
        <f>SUM(K1104:K1127)/2+K1103+SUM(K1040:K1064)/2+K1039+SUM(K865:K1006)/2+K863+SUM(K818:K829)/2+K816+SUM(K678:K717)/2+K676+K641+K633+K568+K556+K478+K451+K439+K415+K406</f>
        <v>0</v>
      </c>
      <c r="L1242" s="855">
        <f>SUM(L1104:L1127)/2+L1103+SUM(L1040:L1064)/2+L1039+SUM(L865:L1006)/2+L863+SUM(L818:L829)/2+L816+SUM(L678:L717)/2+L676+L641+L633+L568+L556+L478+L451+L439+L415+L406</f>
        <v>2537791963</v>
      </c>
      <c r="M1242" s="855">
        <f t="shared" ref="M1242:T1242" si="1414">SUM(M1104:M1127)/2+M1103+SUM(M1040:M1064)/2+M1039+SUM(M865:M1006)/2+M863+SUM(M818:M829)/2+M816+SUM(M678:M717)/2+M676+M641+M633+M568+M556+M478+M451+M439+M415+M406+M1197+M1191+M1185+M1170+M1163+M1155+M1147+M1139+M1133</f>
        <v>373282456</v>
      </c>
      <c r="N1242" s="855">
        <f t="shared" si="1414"/>
        <v>0</v>
      </c>
      <c r="O1242" s="855">
        <f t="shared" si="1414"/>
        <v>-1009864</v>
      </c>
      <c r="P1242" s="855">
        <f t="shared" si="1414"/>
        <v>53441325</v>
      </c>
      <c r="Q1242" s="855">
        <f t="shared" si="1414"/>
        <v>82093848</v>
      </c>
      <c r="R1242" s="855">
        <f t="shared" si="1414"/>
        <v>0</v>
      </c>
      <c r="S1242" s="855">
        <f t="shared" si="1414"/>
        <v>507807765</v>
      </c>
      <c r="T1242" s="855">
        <f t="shared" si="1414"/>
        <v>3045599728</v>
      </c>
      <c r="U1242" s="855">
        <f t="shared" ref="U1242:Z1242" si="1415">SUM(U1104:U1127)/2+U1103+SUM(U1040:U1064)/2+U1039+SUM(U865:U1006)/2+U863+SUM(U818:U829)/2+U816+SUM(U678:U717)/2+U676+U641+U633+U568+U556+U478+U451+U439+U415+U406+U1197+U1191+U1185+U1170+U1163+U1155+U1147+U1139+U1133+U1224+U1218+U1212+U1205</f>
        <v>0</v>
      </c>
      <c r="V1242" s="855">
        <f t="shared" si="1415"/>
        <v>13319200</v>
      </c>
      <c r="W1242" s="855">
        <f t="shared" si="1415"/>
        <v>50297081</v>
      </c>
      <c r="X1242" s="855">
        <f t="shared" si="1415"/>
        <v>152657447</v>
      </c>
      <c r="Y1242" s="855">
        <f t="shared" si="1415"/>
        <v>0</v>
      </c>
      <c r="Z1242" s="855">
        <f t="shared" si="1415"/>
        <v>216273728</v>
      </c>
      <c r="AA1242" s="855">
        <f>SUM(AA1104:AA1127)/2+AA1103+SUM(AA1040:AA1064)/2+AA1039+SUM(AA865:AA1006)/2+AA863+SUM(AA818:AA829)/2+AA816+SUM(AA678:AA717)/2+AA676+AA641+AA633+AA568+AA556+AA478+AA451+AA439+AA415+AA406+AA1197+AA1191+AA1185+AA1170+AA1163+AA1155+AA1147+AA1139+AA1133+AA1224+AA1218+AA1212+AA1205+AA1236+AA1230</f>
        <v>3259413456</v>
      </c>
      <c r="AB1242" s="855">
        <f>SUM(AB1104:AB1127)/2+AB1103+SUM(AB1040:AB1064)/2+AB1039+SUM(AB865:AB1006)/2+AB863+SUM(AB818:AB829)/2+AB816+SUM(AB678:AB717)/2+AB676+AB641+AB633+AB568+AB556+AB478+AB451+AB439+AB415+AB406+AB1197+AB1191+AB1185+AB1170+AB1163+AB1155+AB1147+AB1139+AB1133+AB1224+AB1218+AB1212+AB1205+AB1236+AB1230</f>
        <v>26502000</v>
      </c>
      <c r="AC1242" s="855">
        <f t="shared" ref="AC1242:AI1242" si="1416">SUM(AC1104:AC1127)/2+AC1103+SUM(AC1040:AC1064)/2+AC1039+SUM(AC865:AC1006)/2+AC863+SUM(AC818:AC829)/2+AC816+SUM(AC678:AC717)/2+AC676+AC641+AC633+AC568+AC556+AC478+AC451+AC439+AC415+AC406+AC1197+AC1191+AC1185+AC1170+AC1163+AC1155+AC1147+AC1139+AC1133+AC1224+AC1218+AC1212+AC1205+AC1236+AC1230</f>
        <v>10901317</v>
      </c>
      <c r="AD1242" s="855">
        <f t="shared" si="1416"/>
        <v>-1263819</v>
      </c>
      <c r="AE1242" s="855">
        <f t="shared" si="1416"/>
        <v>102770765</v>
      </c>
      <c r="AF1242" s="855">
        <f t="shared" si="1416"/>
        <v>0</v>
      </c>
      <c r="AG1242" s="855">
        <f t="shared" si="1416"/>
        <v>138910263</v>
      </c>
      <c r="AH1242" s="855">
        <f t="shared" si="1416"/>
        <v>3398323719</v>
      </c>
      <c r="AI1242" s="855">
        <f t="shared" si="1416"/>
        <v>2858228023</v>
      </c>
      <c r="AJ1242" s="856">
        <f>AI1242/AH1242*100</f>
        <v>84.106996841403614</v>
      </c>
    </row>
    <row r="1243" spans="1:36" ht="15.5">
      <c r="A1243" s="519"/>
      <c r="B1243" s="519"/>
      <c r="C1243" s="520"/>
      <c r="D1243" s="520"/>
      <c r="E1243" s="520"/>
      <c r="F1243" s="477"/>
      <c r="G1243" s="477"/>
      <c r="H1243" s="477"/>
      <c r="I1243" s="477"/>
      <c r="J1243" s="236"/>
      <c r="K1243" s="521"/>
      <c r="L1243" s="205"/>
      <c r="M1243" s="205"/>
      <c r="N1243" s="205"/>
      <c r="O1243" s="205"/>
      <c r="P1243" s="205"/>
      <c r="Q1243" s="205"/>
      <c r="R1243" s="205"/>
      <c r="S1243" s="205"/>
      <c r="T1243" s="205"/>
      <c r="U1243" s="205"/>
      <c r="V1243" s="205"/>
      <c r="W1243" s="205"/>
      <c r="X1243" s="205"/>
      <c r="Y1243" s="205"/>
      <c r="Z1243" s="205"/>
      <c r="AA1243" s="205"/>
      <c r="AB1243" s="205"/>
      <c r="AC1243" s="205"/>
      <c r="AD1243" s="205"/>
      <c r="AE1243" s="205"/>
      <c r="AF1243" s="205"/>
      <c r="AG1243" s="205"/>
      <c r="AH1243" s="205"/>
      <c r="AI1243" s="205"/>
      <c r="AJ1243" s="747"/>
    </row>
    <row r="1244" spans="1:36" ht="14">
      <c r="A1244" s="40">
        <v>121</v>
      </c>
      <c r="B1244" s="40"/>
      <c r="C1244" s="124"/>
      <c r="D1244" s="124"/>
      <c r="E1244" s="124"/>
      <c r="F1244" s="522" t="s">
        <v>299</v>
      </c>
      <c r="G1244" s="41"/>
      <c r="H1244" s="163"/>
      <c r="I1244" s="66"/>
      <c r="J1244" s="523"/>
      <c r="K1244" s="453"/>
      <c r="L1244" s="454"/>
      <c r="M1244" s="454"/>
      <c r="N1244" s="454"/>
      <c r="O1244" s="454"/>
      <c r="P1244" s="454"/>
      <c r="Q1244" s="454"/>
      <c r="R1244" s="454"/>
      <c r="S1244" s="454"/>
      <c r="T1244" s="454"/>
      <c r="U1244" s="454"/>
      <c r="V1244" s="454"/>
      <c r="W1244" s="454"/>
      <c r="X1244" s="454"/>
      <c r="Y1244" s="454"/>
      <c r="Z1244" s="454"/>
      <c r="AA1244" s="454"/>
      <c r="AB1244" s="454"/>
      <c r="AC1244" s="454"/>
      <c r="AD1244" s="454"/>
      <c r="AE1244" s="454"/>
      <c r="AF1244" s="454"/>
      <c r="AG1244" s="454"/>
      <c r="AH1244" s="454"/>
      <c r="AI1244" s="454"/>
      <c r="AJ1244" s="769"/>
    </row>
    <row r="1245" spans="1:36" ht="14">
      <c r="A1245" s="40"/>
      <c r="B1245" s="40"/>
      <c r="C1245" s="124">
        <v>1</v>
      </c>
      <c r="D1245" s="124"/>
      <c r="E1245" s="124"/>
      <c r="F1245" s="41"/>
      <c r="G1245" s="41"/>
      <c r="H1245" s="66" t="s">
        <v>35</v>
      </c>
      <c r="I1245" s="125"/>
      <c r="J1245" s="452"/>
      <c r="K1245" s="453"/>
      <c r="L1245" s="454"/>
      <c r="M1245" s="454"/>
      <c r="N1245" s="454"/>
      <c r="O1245" s="454"/>
      <c r="P1245" s="454"/>
      <c r="Q1245" s="454"/>
      <c r="R1245" s="454"/>
      <c r="S1245" s="454"/>
      <c r="T1245" s="454"/>
      <c r="U1245" s="454"/>
      <c r="V1245" s="454"/>
      <c r="W1245" s="454"/>
      <c r="X1245" s="454"/>
      <c r="Y1245" s="454"/>
      <c r="Z1245" s="454"/>
      <c r="AA1245" s="454"/>
      <c r="AB1245" s="454"/>
      <c r="AC1245" s="454"/>
      <c r="AD1245" s="454"/>
      <c r="AE1245" s="454"/>
      <c r="AF1245" s="454"/>
      <c r="AG1245" s="454"/>
      <c r="AH1245" s="454"/>
      <c r="AI1245" s="454"/>
      <c r="AJ1245" s="769"/>
    </row>
    <row r="1246" spans="1:36" ht="14">
      <c r="A1246" s="40"/>
      <c r="B1246" s="40"/>
      <c r="C1246" s="124"/>
      <c r="D1246" s="124">
        <v>3</v>
      </c>
      <c r="E1246" s="124" t="s">
        <v>199</v>
      </c>
      <c r="F1246" s="41"/>
      <c r="G1246" s="41"/>
      <c r="H1246" s="66"/>
      <c r="I1246" s="66" t="s">
        <v>116</v>
      </c>
      <c r="J1246" s="524">
        <v>7500000</v>
      </c>
      <c r="K1246" s="525"/>
      <c r="L1246" s="526">
        <f>SUM(J1246)</f>
        <v>7500000</v>
      </c>
      <c r="M1246" s="526">
        <v>1576672</v>
      </c>
      <c r="N1246" s="526"/>
      <c r="O1246" s="526"/>
      <c r="P1246" s="526"/>
      <c r="Q1246" s="526"/>
      <c r="R1246" s="526"/>
      <c r="S1246" s="217">
        <f t="shared" ref="S1246" si="1417">SUM(M1246:R1246)</f>
        <v>1576672</v>
      </c>
      <c r="T1246" s="217">
        <f t="shared" ref="T1246" si="1418">S1246+L1246</f>
        <v>9076672</v>
      </c>
      <c r="U1246" s="526"/>
      <c r="V1246" s="526"/>
      <c r="W1246" s="526"/>
      <c r="X1246" s="526"/>
      <c r="Y1246" s="526"/>
      <c r="Z1246" s="217">
        <f>SUM(U1246:Y1246)</f>
        <v>0</v>
      </c>
      <c r="AA1246" s="217">
        <f>Z1246+T1246</f>
        <v>9076672</v>
      </c>
      <c r="AB1246" s="526"/>
      <c r="AC1246" s="526"/>
      <c r="AD1246" s="526"/>
      <c r="AE1246" s="526"/>
      <c r="AF1246" s="526"/>
      <c r="AG1246" s="217">
        <f t="shared" ref="AG1246" si="1419">SUM(AB1246:AF1246)</f>
        <v>0</v>
      </c>
      <c r="AH1246" s="217">
        <f t="shared" ref="AH1246" si="1420">AG1246+AA1246</f>
        <v>9076672</v>
      </c>
      <c r="AI1246" s="217">
        <v>7350105</v>
      </c>
      <c r="AJ1246" s="764">
        <f>AI1246/AH1246*100</f>
        <v>80.977972983930684</v>
      </c>
    </row>
    <row r="1247" spans="1:36" ht="14">
      <c r="A1247" s="40"/>
      <c r="B1247" s="40"/>
      <c r="C1247" s="124"/>
      <c r="D1247" s="124"/>
      <c r="E1247" s="124"/>
      <c r="F1247" s="41"/>
      <c r="G1247" s="41"/>
      <c r="H1247" s="163"/>
      <c r="I1247" s="125"/>
      <c r="J1247" s="524"/>
      <c r="K1247" s="525"/>
      <c r="L1247" s="526"/>
      <c r="M1247" s="526"/>
      <c r="N1247" s="526"/>
      <c r="O1247" s="526"/>
      <c r="P1247" s="526"/>
      <c r="Q1247" s="526"/>
      <c r="R1247" s="526"/>
      <c r="S1247" s="526"/>
      <c r="T1247" s="526"/>
      <c r="U1247" s="526"/>
      <c r="V1247" s="526"/>
      <c r="W1247" s="526"/>
      <c r="X1247" s="526"/>
      <c r="Y1247" s="526"/>
      <c r="Z1247" s="526"/>
      <c r="AA1247" s="526"/>
      <c r="AB1247" s="526"/>
      <c r="AC1247" s="526"/>
      <c r="AD1247" s="526"/>
      <c r="AE1247" s="526"/>
      <c r="AF1247" s="526"/>
      <c r="AG1247" s="526"/>
      <c r="AH1247" s="526"/>
      <c r="AI1247" s="526"/>
      <c r="AJ1247" s="779"/>
    </row>
    <row r="1248" spans="1:36" ht="14">
      <c r="A1248" s="40"/>
      <c r="B1248" s="40"/>
      <c r="C1248" s="124"/>
      <c r="D1248" s="124"/>
      <c r="E1248" s="124"/>
      <c r="F1248" s="166"/>
      <c r="G1248" s="166"/>
      <c r="H1248" s="527"/>
      <c r="I1248" s="166" t="s">
        <v>37</v>
      </c>
      <c r="J1248" s="528">
        <f>SUM(J1244:J1247)</f>
        <v>7500000</v>
      </c>
      <c r="K1248" s="529"/>
      <c r="L1248" s="530">
        <f>SUM(L1244:L1247)</f>
        <v>7500000</v>
      </c>
      <c r="M1248" s="530">
        <f t="shared" ref="M1248:T1248" si="1421">SUM(M1244:M1247)</f>
        <v>1576672</v>
      </c>
      <c r="N1248" s="530">
        <f t="shared" si="1421"/>
        <v>0</v>
      </c>
      <c r="O1248" s="530">
        <f t="shared" si="1421"/>
        <v>0</v>
      </c>
      <c r="P1248" s="530">
        <f t="shared" si="1421"/>
        <v>0</v>
      </c>
      <c r="Q1248" s="530">
        <f t="shared" si="1421"/>
        <v>0</v>
      </c>
      <c r="R1248" s="530">
        <f t="shared" si="1421"/>
        <v>0</v>
      </c>
      <c r="S1248" s="530">
        <f t="shared" si="1421"/>
        <v>1576672</v>
      </c>
      <c r="T1248" s="530">
        <f t="shared" si="1421"/>
        <v>9076672</v>
      </c>
      <c r="U1248" s="530"/>
      <c r="V1248" s="530"/>
      <c r="W1248" s="530"/>
      <c r="X1248" s="530"/>
      <c r="Y1248" s="530"/>
      <c r="Z1248" s="530">
        <f t="shared" ref="Z1248:AA1248" si="1422">SUM(Z1244:Z1247)</f>
        <v>0</v>
      </c>
      <c r="AA1248" s="530">
        <f t="shared" si="1422"/>
        <v>9076672</v>
      </c>
      <c r="AB1248" s="530"/>
      <c r="AC1248" s="530"/>
      <c r="AD1248" s="530"/>
      <c r="AE1248" s="530"/>
      <c r="AF1248" s="530"/>
      <c r="AG1248" s="530">
        <f t="shared" ref="AG1248:AI1248" si="1423">SUM(AG1244:AG1247)</f>
        <v>0</v>
      </c>
      <c r="AH1248" s="530">
        <f t="shared" si="1423"/>
        <v>9076672</v>
      </c>
      <c r="AI1248" s="530">
        <f t="shared" si="1423"/>
        <v>7350105</v>
      </c>
      <c r="AJ1248" s="776">
        <f>AI1248/AH1248*100</f>
        <v>80.977972983930684</v>
      </c>
    </row>
    <row r="1249" spans="1:36" ht="14">
      <c r="A1249" s="40"/>
      <c r="B1249" s="40"/>
      <c r="C1249" s="124"/>
      <c r="D1249" s="124"/>
      <c r="E1249" s="124"/>
      <c r="F1249" s="41"/>
      <c r="G1249" s="41"/>
      <c r="H1249" s="63"/>
      <c r="I1249" s="41"/>
      <c r="J1249" s="531"/>
      <c r="K1249" s="679"/>
      <c r="L1249" s="678"/>
      <c r="M1249" s="678"/>
      <c r="N1249" s="678"/>
      <c r="O1249" s="678"/>
      <c r="P1249" s="678"/>
      <c r="Q1249" s="678"/>
      <c r="R1249" s="678"/>
      <c r="S1249" s="678"/>
      <c r="T1249" s="678"/>
      <c r="U1249" s="678"/>
      <c r="V1249" s="678"/>
      <c r="W1249" s="678"/>
      <c r="X1249" s="678"/>
      <c r="Y1249" s="678"/>
      <c r="Z1249" s="678"/>
      <c r="AA1249" s="678"/>
      <c r="AB1249" s="702"/>
      <c r="AC1249" s="702"/>
      <c r="AD1249" s="702"/>
      <c r="AE1249" s="702"/>
      <c r="AF1249" s="702"/>
      <c r="AG1249" s="702"/>
      <c r="AH1249" s="702"/>
      <c r="AI1249" s="702"/>
      <c r="AJ1249" s="780"/>
    </row>
    <row r="1250" spans="1:36" ht="28.5" customHeight="1">
      <c r="A1250" s="40">
        <v>122</v>
      </c>
      <c r="B1250" s="40"/>
      <c r="C1250" s="124"/>
      <c r="D1250" s="124"/>
      <c r="E1250" s="124"/>
      <c r="F1250" s="942" t="s">
        <v>119</v>
      </c>
      <c r="G1250" s="935"/>
      <c r="H1250" s="935"/>
      <c r="I1250" s="936"/>
      <c r="J1250" s="680"/>
      <c r="K1250" s="525"/>
      <c r="L1250" s="526"/>
      <c r="M1250" s="526"/>
      <c r="N1250" s="526"/>
      <c r="O1250" s="526"/>
      <c r="P1250" s="526"/>
      <c r="Q1250" s="526"/>
      <c r="R1250" s="526"/>
      <c r="S1250" s="526"/>
      <c r="T1250" s="526"/>
      <c r="U1250" s="526"/>
      <c r="V1250" s="526"/>
      <c r="W1250" s="526"/>
      <c r="X1250" s="526"/>
      <c r="Y1250" s="526"/>
      <c r="Z1250" s="526"/>
      <c r="AA1250" s="526"/>
      <c r="AB1250" s="526"/>
      <c r="AC1250" s="526"/>
      <c r="AD1250" s="526"/>
      <c r="AE1250" s="526"/>
      <c r="AF1250" s="526"/>
      <c r="AG1250" s="526"/>
      <c r="AH1250" s="526"/>
      <c r="AI1250" s="526"/>
      <c r="AJ1250" s="779"/>
    </row>
    <row r="1251" spans="1:36" ht="14">
      <c r="A1251" s="40"/>
      <c r="B1251" s="40">
        <v>1</v>
      </c>
      <c r="C1251" s="124"/>
      <c r="D1251" s="124"/>
      <c r="E1251" s="124"/>
      <c r="F1251" s="41"/>
      <c r="G1251" s="41" t="s">
        <v>66</v>
      </c>
      <c r="H1251" s="66"/>
      <c r="I1251" s="66"/>
      <c r="J1251" s="524"/>
      <c r="K1251" s="204"/>
      <c r="L1251" s="205"/>
      <c r="M1251" s="205"/>
      <c r="N1251" s="205"/>
      <c r="O1251" s="205"/>
      <c r="P1251" s="205"/>
      <c r="Q1251" s="205"/>
      <c r="R1251" s="205"/>
      <c r="S1251" s="205"/>
      <c r="T1251" s="205"/>
      <c r="U1251" s="205"/>
      <c r="V1251" s="205"/>
      <c r="W1251" s="205"/>
      <c r="X1251" s="205"/>
      <c r="Y1251" s="205"/>
      <c r="Z1251" s="205"/>
      <c r="AA1251" s="205"/>
      <c r="AB1251" s="205"/>
      <c r="AC1251" s="205"/>
      <c r="AD1251" s="205"/>
      <c r="AE1251" s="205"/>
      <c r="AF1251" s="205"/>
      <c r="AG1251" s="205"/>
      <c r="AH1251" s="205"/>
      <c r="AI1251" s="205"/>
      <c r="AJ1251" s="747"/>
    </row>
    <row r="1252" spans="1:36" ht="14">
      <c r="A1252" s="40"/>
      <c r="B1252" s="40"/>
      <c r="C1252" s="124">
        <v>1</v>
      </c>
      <c r="D1252" s="124"/>
      <c r="E1252" s="124"/>
      <c r="F1252" s="41"/>
      <c r="G1252" s="41"/>
      <c r="H1252" s="125" t="s">
        <v>35</v>
      </c>
      <c r="I1252" s="66"/>
      <c r="J1252" s="524"/>
      <c r="K1252" s="525"/>
      <c r="L1252" s="526"/>
      <c r="M1252" s="526"/>
      <c r="N1252" s="526"/>
      <c r="O1252" s="526"/>
      <c r="P1252" s="526"/>
      <c r="Q1252" s="526"/>
      <c r="R1252" s="526"/>
      <c r="S1252" s="526"/>
      <c r="T1252" s="526"/>
      <c r="U1252" s="526"/>
      <c r="V1252" s="526"/>
      <c r="W1252" s="526"/>
      <c r="X1252" s="526"/>
      <c r="Y1252" s="526"/>
      <c r="Z1252" s="526"/>
      <c r="AA1252" s="526"/>
      <c r="AB1252" s="526"/>
      <c r="AC1252" s="526"/>
      <c r="AD1252" s="526"/>
      <c r="AE1252" s="526"/>
      <c r="AF1252" s="526"/>
      <c r="AG1252" s="526"/>
      <c r="AH1252" s="526"/>
      <c r="AI1252" s="526"/>
      <c r="AJ1252" s="779"/>
    </row>
    <row r="1253" spans="1:36" ht="14">
      <c r="A1253" s="40"/>
      <c r="B1253" s="40"/>
      <c r="C1253" s="124"/>
      <c r="D1253" s="124">
        <v>3</v>
      </c>
      <c r="E1253" s="124" t="s">
        <v>199</v>
      </c>
      <c r="F1253" s="41"/>
      <c r="G1253" s="41"/>
      <c r="H1253" s="163"/>
      <c r="I1253" s="125" t="s">
        <v>116</v>
      </c>
      <c r="J1253" s="524">
        <v>190180000</v>
      </c>
      <c r="K1253" s="525"/>
      <c r="L1253" s="526">
        <f>SUM(J1253:K1253)</f>
        <v>190180000</v>
      </c>
      <c r="M1253" s="526">
        <v>26881101</v>
      </c>
      <c r="N1253" s="526"/>
      <c r="O1253" s="526"/>
      <c r="P1253" s="526"/>
      <c r="Q1253" s="526"/>
      <c r="R1253" s="526"/>
      <c r="S1253" s="217">
        <f t="shared" ref="S1253:S1256" si="1424">SUM(M1253:R1253)</f>
        <v>26881101</v>
      </c>
      <c r="T1253" s="217">
        <f t="shared" ref="T1253:T1256" si="1425">S1253+L1253</f>
        <v>217061101</v>
      </c>
      <c r="U1253" s="526"/>
      <c r="V1253" s="526"/>
      <c r="W1253" s="526"/>
      <c r="X1253" s="526">
        <v>-22223271</v>
      </c>
      <c r="Y1253" s="526"/>
      <c r="Z1253" s="217">
        <f>SUM(U1253:Y1253)</f>
        <v>-22223271</v>
      </c>
      <c r="AA1253" s="217">
        <f>Z1253+T1253</f>
        <v>194837830</v>
      </c>
      <c r="AB1253" s="526"/>
      <c r="AC1253" s="526"/>
      <c r="AD1253" s="526"/>
      <c r="AE1253" s="526">
        <v>-10500000</v>
      </c>
      <c r="AF1253" s="526"/>
      <c r="AG1253" s="217">
        <f t="shared" ref="AG1253" si="1426">SUM(AB1253:AF1253)</f>
        <v>-10500000</v>
      </c>
      <c r="AH1253" s="217">
        <f t="shared" ref="AH1253" si="1427">AG1253+AA1253</f>
        <v>184337830</v>
      </c>
      <c r="AI1253" s="217">
        <v>153734905</v>
      </c>
      <c r="AJ1253" s="764">
        <f>AI1253/AH1253*100</f>
        <v>83.398456518664673</v>
      </c>
    </row>
    <row r="1254" spans="1:36" ht="14">
      <c r="A1254" s="40"/>
      <c r="B1254" s="40"/>
      <c r="C1254" s="124">
        <v>2</v>
      </c>
      <c r="D1254" s="124"/>
      <c r="E1254" s="124"/>
      <c r="F1254" s="41"/>
      <c r="G1254" s="41"/>
      <c r="H1254" s="162" t="s">
        <v>211</v>
      </c>
      <c r="I1254" s="125"/>
      <c r="J1254" s="524"/>
      <c r="K1254" s="525"/>
      <c r="L1254" s="526"/>
      <c r="M1254" s="526"/>
      <c r="N1254" s="526"/>
      <c r="O1254" s="526"/>
      <c r="P1254" s="526"/>
      <c r="Q1254" s="526"/>
      <c r="R1254" s="526"/>
      <c r="S1254" s="217"/>
      <c r="T1254" s="217"/>
      <c r="U1254" s="526"/>
      <c r="V1254" s="526"/>
      <c r="W1254" s="526"/>
      <c r="X1254" s="526"/>
      <c r="Y1254" s="526"/>
      <c r="Z1254" s="217"/>
      <c r="AA1254" s="217"/>
      <c r="AB1254" s="526"/>
      <c r="AC1254" s="526"/>
      <c r="AD1254" s="526"/>
      <c r="AE1254" s="526"/>
      <c r="AF1254" s="526"/>
      <c r="AG1254" s="217"/>
      <c r="AH1254" s="217"/>
      <c r="AI1254" s="217"/>
      <c r="AJ1254" s="764"/>
    </row>
    <row r="1255" spans="1:36" ht="14">
      <c r="A1255" s="40"/>
      <c r="B1255" s="40"/>
      <c r="C1255" s="124"/>
      <c r="D1255" s="124">
        <v>7</v>
      </c>
      <c r="E1255" s="124" t="s">
        <v>199</v>
      </c>
      <c r="F1255" s="41"/>
      <c r="G1255" s="41"/>
      <c r="H1255" s="162"/>
      <c r="I1255" s="125" t="s">
        <v>214</v>
      </c>
      <c r="J1255" s="524"/>
      <c r="K1255" s="525"/>
      <c r="L1255" s="526">
        <f>SUM(J1255:K1255)</f>
        <v>0</v>
      </c>
      <c r="M1255" s="526">
        <v>32791387</v>
      </c>
      <c r="N1255" s="526"/>
      <c r="O1255" s="526"/>
      <c r="P1255" s="526"/>
      <c r="Q1255" s="526"/>
      <c r="R1255" s="526"/>
      <c r="S1255" s="217">
        <f t="shared" si="1424"/>
        <v>32791387</v>
      </c>
      <c r="T1255" s="217">
        <f t="shared" si="1425"/>
        <v>32791387</v>
      </c>
      <c r="U1255" s="526"/>
      <c r="V1255" s="526"/>
      <c r="W1255" s="526"/>
      <c r="X1255" s="526"/>
      <c r="Y1255" s="526"/>
      <c r="Z1255" s="217">
        <f>SUM(U1255:Y1255)</f>
        <v>0</v>
      </c>
      <c r="AA1255" s="217">
        <f>Z1255+T1255</f>
        <v>32791387</v>
      </c>
      <c r="AB1255" s="526"/>
      <c r="AC1255" s="526">
        <v>17178380</v>
      </c>
      <c r="AD1255" s="526"/>
      <c r="AE1255" s="526">
        <v>10500000</v>
      </c>
      <c r="AF1255" s="526"/>
      <c r="AG1255" s="217">
        <f t="shared" ref="AG1255:AG1256" si="1428">SUM(AB1255:AF1255)</f>
        <v>27678380</v>
      </c>
      <c r="AH1255" s="217">
        <f t="shared" ref="AH1255:AH1256" si="1429">AG1255+AA1255</f>
        <v>60469767</v>
      </c>
      <c r="AI1255" s="217">
        <v>29917194</v>
      </c>
      <c r="AJ1255" s="764">
        <f>AI1255/AH1255*100</f>
        <v>49.47463085147988</v>
      </c>
    </row>
    <row r="1256" spans="1:36" ht="14">
      <c r="A1256" s="40"/>
      <c r="B1256" s="40"/>
      <c r="C1256" s="124"/>
      <c r="D1256" s="124">
        <v>8</v>
      </c>
      <c r="E1256" s="124" t="s">
        <v>199</v>
      </c>
      <c r="F1256" s="41"/>
      <c r="G1256" s="41"/>
      <c r="H1256" s="163"/>
      <c r="I1256" s="125" t="s">
        <v>212</v>
      </c>
      <c r="J1256" s="524"/>
      <c r="K1256" s="525">
        <v>23900000</v>
      </c>
      <c r="L1256" s="526">
        <f>SUM(J1256:K1256)</f>
        <v>23900000</v>
      </c>
      <c r="M1256" s="526">
        <v>1868367</v>
      </c>
      <c r="N1256" s="526"/>
      <c r="O1256" s="526"/>
      <c r="P1256" s="526"/>
      <c r="Q1256" s="526"/>
      <c r="R1256" s="526"/>
      <c r="S1256" s="217">
        <f t="shared" si="1424"/>
        <v>1868367</v>
      </c>
      <c r="T1256" s="217">
        <f t="shared" si="1425"/>
        <v>25768367</v>
      </c>
      <c r="U1256" s="526"/>
      <c r="V1256" s="526"/>
      <c r="W1256" s="526"/>
      <c r="X1256" s="526"/>
      <c r="Y1256" s="526"/>
      <c r="Z1256" s="217">
        <f>SUM(U1256:Y1256)</f>
        <v>0</v>
      </c>
      <c r="AA1256" s="217">
        <f>Z1256+T1256</f>
        <v>25768367</v>
      </c>
      <c r="AB1256" s="526"/>
      <c r="AC1256" s="526"/>
      <c r="AD1256" s="526"/>
      <c r="AE1256" s="526">
        <v>-718314</v>
      </c>
      <c r="AF1256" s="526"/>
      <c r="AG1256" s="217">
        <f t="shared" si="1428"/>
        <v>-718314</v>
      </c>
      <c r="AH1256" s="217">
        <f t="shared" si="1429"/>
        <v>25050053</v>
      </c>
      <c r="AI1256" s="217">
        <v>21135357</v>
      </c>
      <c r="AJ1256" s="764">
        <f>AI1256/AH1256*100</f>
        <v>84.372504122047161</v>
      </c>
    </row>
    <row r="1257" spans="1:36" ht="14">
      <c r="A1257" s="40"/>
      <c r="B1257" s="40"/>
      <c r="C1257" s="124"/>
      <c r="D1257" s="124"/>
      <c r="E1257" s="124"/>
      <c r="F1257" s="41"/>
      <c r="G1257" s="41"/>
      <c r="H1257" s="163"/>
      <c r="I1257" s="532"/>
      <c r="J1257" s="533"/>
      <c r="K1257" s="525"/>
      <c r="L1257" s="526"/>
      <c r="M1257" s="526"/>
      <c r="N1257" s="526"/>
      <c r="O1257" s="526"/>
      <c r="P1257" s="526"/>
      <c r="Q1257" s="526"/>
      <c r="R1257" s="526"/>
      <c r="S1257" s="526"/>
      <c r="T1257" s="526"/>
      <c r="U1257" s="526"/>
      <c r="V1257" s="526"/>
      <c r="W1257" s="526"/>
      <c r="X1257" s="526"/>
      <c r="Y1257" s="526"/>
      <c r="Z1257" s="526"/>
      <c r="AA1257" s="526"/>
      <c r="AB1257" s="526"/>
      <c r="AC1257" s="526"/>
      <c r="AD1257" s="526"/>
      <c r="AE1257" s="526"/>
      <c r="AF1257" s="526"/>
      <c r="AG1257" s="526"/>
      <c r="AH1257" s="526"/>
      <c r="AI1257" s="526"/>
      <c r="AJ1257" s="779"/>
    </row>
    <row r="1258" spans="1:36" ht="14">
      <c r="A1258" s="40"/>
      <c r="B1258" s="40"/>
      <c r="C1258" s="124"/>
      <c r="D1258" s="124"/>
      <c r="E1258" s="124"/>
      <c r="F1258" s="64"/>
      <c r="G1258" s="64"/>
      <c r="H1258" s="65"/>
      <c r="I1258" s="64" t="s">
        <v>38</v>
      </c>
      <c r="J1258" s="333">
        <f>SUM(J1253:J1257)</f>
        <v>190180000</v>
      </c>
      <c r="K1258" s="457">
        <f>SUM(K1253:K1257)</f>
        <v>23900000</v>
      </c>
      <c r="L1258" s="458">
        <f>SUM(L1253:L1257)</f>
        <v>214080000</v>
      </c>
      <c r="M1258" s="458">
        <f t="shared" ref="M1258:T1258" si="1430">SUM(M1253:M1257)</f>
        <v>61540855</v>
      </c>
      <c r="N1258" s="458">
        <f t="shared" si="1430"/>
        <v>0</v>
      </c>
      <c r="O1258" s="458">
        <f t="shared" si="1430"/>
        <v>0</v>
      </c>
      <c r="P1258" s="458">
        <f t="shared" si="1430"/>
        <v>0</v>
      </c>
      <c r="Q1258" s="458">
        <f t="shared" si="1430"/>
        <v>0</v>
      </c>
      <c r="R1258" s="458">
        <f t="shared" si="1430"/>
        <v>0</v>
      </c>
      <c r="S1258" s="458">
        <f t="shared" si="1430"/>
        <v>61540855</v>
      </c>
      <c r="T1258" s="458">
        <f t="shared" si="1430"/>
        <v>275620855</v>
      </c>
      <c r="U1258" s="458"/>
      <c r="V1258" s="458"/>
      <c r="W1258" s="458"/>
      <c r="X1258" s="458">
        <f t="shared" ref="X1258:AD1258" si="1431">SUM(X1253:X1257)</f>
        <v>-22223271</v>
      </c>
      <c r="Y1258" s="458"/>
      <c r="Z1258" s="458">
        <f t="shared" si="1431"/>
        <v>-22223271</v>
      </c>
      <c r="AA1258" s="458">
        <f t="shared" si="1431"/>
        <v>253397584</v>
      </c>
      <c r="AB1258" s="458">
        <f t="shared" si="1431"/>
        <v>0</v>
      </c>
      <c r="AC1258" s="458">
        <f t="shared" si="1431"/>
        <v>17178380</v>
      </c>
      <c r="AD1258" s="458">
        <f t="shared" si="1431"/>
        <v>0</v>
      </c>
      <c r="AE1258" s="458">
        <f t="shared" ref="AE1258" si="1432">SUM(AE1253:AE1257)</f>
        <v>-718314</v>
      </c>
      <c r="AF1258" s="458"/>
      <c r="AG1258" s="458">
        <f t="shared" ref="AG1258:AI1258" si="1433">SUM(AG1253:AG1257)</f>
        <v>16460066</v>
      </c>
      <c r="AH1258" s="458">
        <f t="shared" si="1433"/>
        <v>269857650</v>
      </c>
      <c r="AI1258" s="458">
        <f t="shared" si="1433"/>
        <v>204787456</v>
      </c>
      <c r="AJ1258" s="770">
        <f>AI1258/AH1258*100</f>
        <v>75.887215352242194</v>
      </c>
    </row>
    <row r="1259" spans="1:36" ht="14">
      <c r="A1259" s="40"/>
      <c r="B1259" s="40"/>
      <c r="C1259" s="124"/>
      <c r="D1259" s="124"/>
      <c r="E1259" s="124"/>
      <c r="F1259" s="41"/>
      <c r="G1259" s="41"/>
      <c r="H1259" s="66"/>
      <c r="I1259" s="41"/>
      <c r="J1259" s="126"/>
      <c r="K1259" s="204"/>
      <c r="L1259" s="205"/>
      <c r="M1259" s="205"/>
      <c r="N1259" s="205"/>
      <c r="O1259" s="205"/>
      <c r="P1259" s="205"/>
      <c r="Q1259" s="205"/>
      <c r="R1259" s="205"/>
      <c r="S1259" s="205"/>
      <c r="T1259" s="205"/>
      <c r="U1259" s="205"/>
      <c r="V1259" s="205"/>
      <c r="W1259" s="205"/>
      <c r="X1259" s="205"/>
      <c r="Y1259" s="205"/>
      <c r="Z1259" s="205"/>
      <c r="AA1259" s="205"/>
      <c r="AB1259" s="205"/>
      <c r="AC1259" s="205"/>
      <c r="AD1259" s="205"/>
      <c r="AE1259" s="205"/>
      <c r="AF1259" s="205"/>
      <c r="AG1259" s="205"/>
      <c r="AH1259" s="205"/>
      <c r="AI1259" s="205"/>
      <c r="AJ1259" s="747"/>
    </row>
    <row r="1260" spans="1:36" ht="14">
      <c r="A1260" s="40"/>
      <c r="B1260" s="40">
        <v>2</v>
      </c>
      <c r="C1260" s="124"/>
      <c r="D1260" s="124"/>
      <c r="E1260" s="124"/>
      <c r="F1260" s="41"/>
      <c r="G1260" s="41" t="s">
        <v>67</v>
      </c>
      <c r="H1260" s="66"/>
      <c r="I1260" s="66"/>
      <c r="J1260" s="126"/>
      <c r="K1260" s="204"/>
      <c r="L1260" s="205"/>
      <c r="M1260" s="205"/>
      <c r="N1260" s="205"/>
      <c r="O1260" s="205"/>
      <c r="P1260" s="205"/>
      <c r="Q1260" s="205"/>
      <c r="R1260" s="205"/>
      <c r="S1260" s="205"/>
      <c r="T1260" s="205"/>
      <c r="U1260" s="205"/>
      <c r="V1260" s="205"/>
      <c r="W1260" s="205"/>
      <c r="X1260" s="205"/>
      <c r="Y1260" s="205"/>
      <c r="Z1260" s="205"/>
      <c r="AA1260" s="205"/>
      <c r="AB1260" s="205"/>
      <c r="AC1260" s="205"/>
      <c r="AD1260" s="205"/>
      <c r="AE1260" s="205"/>
      <c r="AF1260" s="205"/>
      <c r="AG1260" s="205"/>
      <c r="AH1260" s="205"/>
      <c r="AI1260" s="205"/>
      <c r="AJ1260" s="747"/>
    </row>
    <row r="1261" spans="1:36" ht="14">
      <c r="A1261" s="40"/>
      <c r="B1261" s="40"/>
      <c r="C1261" s="124">
        <v>1</v>
      </c>
      <c r="D1261" s="124"/>
      <c r="E1261" s="124"/>
      <c r="F1261" s="41"/>
      <c r="G1261" s="41"/>
      <c r="H1261" s="125" t="s">
        <v>35</v>
      </c>
      <c r="I1261" s="66"/>
      <c r="J1261" s="126"/>
      <c r="K1261" s="525"/>
      <c r="L1261" s="526"/>
      <c r="M1261" s="526"/>
      <c r="N1261" s="526"/>
      <c r="O1261" s="526"/>
      <c r="P1261" s="526"/>
      <c r="Q1261" s="526"/>
      <c r="R1261" s="526"/>
      <c r="S1261" s="526"/>
      <c r="T1261" s="526"/>
      <c r="U1261" s="526"/>
      <c r="V1261" s="526"/>
      <c r="W1261" s="526"/>
      <c r="X1261" s="526"/>
      <c r="Y1261" s="526"/>
      <c r="Z1261" s="526"/>
      <c r="AA1261" s="526"/>
      <c r="AB1261" s="526"/>
      <c r="AC1261" s="526"/>
      <c r="AD1261" s="526"/>
      <c r="AE1261" s="526"/>
      <c r="AF1261" s="526"/>
      <c r="AG1261" s="526"/>
      <c r="AH1261" s="526"/>
      <c r="AI1261" s="526"/>
      <c r="AJ1261" s="779"/>
    </row>
    <row r="1262" spans="1:36" ht="14">
      <c r="A1262" s="40"/>
      <c r="B1262" s="40"/>
      <c r="C1262" s="124"/>
      <c r="D1262" s="124">
        <v>3</v>
      </c>
      <c r="E1262" s="124" t="s">
        <v>199</v>
      </c>
      <c r="F1262" s="41"/>
      <c r="G1262" s="41"/>
      <c r="H1262" s="163"/>
      <c r="I1262" s="125" t="s">
        <v>116</v>
      </c>
      <c r="J1262" s="524">
        <v>19345000</v>
      </c>
      <c r="K1262" s="525"/>
      <c r="L1262" s="526">
        <f>SUM(J1262:K1262)</f>
        <v>19345000</v>
      </c>
      <c r="M1262" s="526">
        <v>1777695</v>
      </c>
      <c r="N1262" s="526"/>
      <c r="O1262" s="526"/>
      <c r="P1262" s="526"/>
      <c r="Q1262" s="526"/>
      <c r="R1262" s="526"/>
      <c r="S1262" s="217">
        <f t="shared" ref="S1262:S1266" si="1434">SUM(M1262:R1262)</f>
        <v>1777695</v>
      </c>
      <c r="T1262" s="217">
        <f t="shared" ref="T1262:T1266" si="1435">S1262+L1262</f>
        <v>21122695</v>
      </c>
      <c r="U1262" s="526"/>
      <c r="V1262" s="526"/>
      <c r="W1262" s="526"/>
      <c r="X1262" s="526">
        <v>-6916681</v>
      </c>
      <c r="Y1262" s="526"/>
      <c r="Z1262" s="217">
        <f>SUM(U1262:Y1262)</f>
        <v>-6916681</v>
      </c>
      <c r="AA1262" s="217">
        <f>Z1262+T1262</f>
        <v>14206014</v>
      </c>
      <c r="AB1262" s="526"/>
      <c r="AC1262" s="526"/>
      <c r="AD1262" s="526"/>
      <c r="AE1262" s="526">
        <v>-3471101</v>
      </c>
      <c r="AF1262" s="526"/>
      <c r="AG1262" s="217">
        <f t="shared" ref="AG1262" si="1436">SUM(AB1262:AF1262)</f>
        <v>-3471101</v>
      </c>
      <c r="AH1262" s="217">
        <f t="shared" ref="AH1262" si="1437">AG1262+AA1262</f>
        <v>10734913</v>
      </c>
      <c r="AI1262" s="217">
        <v>6956435</v>
      </c>
      <c r="AJ1262" s="764">
        <f>AI1262/AH1262*100</f>
        <v>64.801969051821857</v>
      </c>
    </row>
    <row r="1263" spans="1:36" ht="14">
      <c r="A1263" s="40"/>
      <c r="B1263" s="40"/>
      <c r="C1263" s="124">
        <v>2</v>
      </c>
      <c r="D1263" s="124"/>
      <c r="E1263" s="124"/>
      <c r="F1263" s="41"/>
      <c r="G1263" s="41"/>
      <c r="H1263" s="162" t="s">
        <v>211</v>
      </c>
      <c r="I1263" s="125"/>
      <c r="J1263" s="524"/>
      <c r="K1263" s="525"/>
      <c r="L1263" s="526"/>
      <c r="M1263" s="526"/>
      <c r="N1263" s="526"/>
      <c r="O1263" s="526"/>
      <c r="P1263" s="526"/>
      <c r="Q1263" s="526"/>
      <c r="R1263" s="526"/>
      <c r="S1263" s="217"/>
      <c r="T1263" s="217"/>
      <c r="U1263" s="526"/>
      <c r="V1263" s="526"/>
      <c r="W1263" s="526"/>
      <c r="X1263" s="526"/>
      <c r="Y1263" s="526"/>
      <c r="Z1263" s="217"/>
      <c r="AA1263" s="217"/>
      <c r="AB1263" s="526"/>
      <c r="AC1263" s="526"/>
      <c r="AD1263" s="526"/>
      <c r="AE1263" s="526"/>
      <c r="AF1263" s="526"/>
      <c r="AG1263" s="217"/>
      <c r="AH1263" s="217"/>
      <c r="AI1263" s="217"/>
      <c r="AJ1263" s="764"/>
    </row>
    <row r="1264" spans="1:36" ht="14">
      <c r="A1264" s="40"/>
      <c r="B1264" s="40"/>
      <c r="C1264" s="124"/>
      <c r="D1264" s="124">
        <v>6</v>
      </c>
      <c r="E1264" s="124" t="s">
        <v>199</v>
      </c>
      <c r="F1264" s="41"/>
      <c r="G1264" s="41"/>
      <c r="H1264" s="163"/>
      <c r="I1264" s="125" t="s">
        <v>213</v>
      </c>
      <c r="J1264" s="524"/>
      <c r="K1264" s="525">
        <v>8000000</v>
      </c>
      <c r="L1264" s="526">
        <f>SUM(J1264:K1264)</f>
        <v>8000000</v>
      </c>
      <c r="M1264" s="526">
        <v>3436360</v>
      </c>
      <c r="N1264" s="526"/>
      <c r="O1264" s="526"/>
      <c r="P1264" s="526"/>
      <c r="Q1264" s="526">
        <v>-11436360</v>
      </c>
      <c r="R1264" s="526"/>
      <c r="S1264" s="217">
        <f t="shared" si="1434"/>
        <v>-8000000</v>
      </c>
      <c r="T1264" s="217">
        <f t="shared" si="1435"/>
        <v>0</v>
      </c>
      <c r="U1264" s="526"/>
      <c r="V1264" s="526"/>
      <c r="W1264" s="526"/>
      <c r="X1264" s="526"/>
      <c r="Y1264" s="526"/>
      <c r="Z1264" s="217">
        <f>SUM(U1264:Y1264)</f>
        <v>0</v>
      </c>
      <c r="AA1264" s="217">
        <f>Z1264+T1264</f>
        <v>0</v>
      </c>
      <c r="AB1264" s="526"/>
      <c r="AC1264" s="526"/>
      <c r="AD1264" s="526"/>
      <c r="AE1264" s="526"/>
      <c r="AF1264" s="526"/>
      <c r="AG1264" s="217">
        <f t="shared" ref="AG1264:AG1266" si="1438">SUM(AB1264:AF1264)</f>
        <v>0</v>
      </c>
      <c r="AH1264" s="217">
        <f t="shared" ref="AH1264:AH1266" si="1439">AG1264+AA1264</f>
        <v>0</v>
      </c>
      <c r="AI1264" s="217"/>
      <c r="AJ1264" s="764"/>
    </row>
    <row r="1265" spans="1:36" ht="14">
      <c r="A1265" s="40"/>
      <c r="B1265" s="40"/>
      <c r="C1265" s="124"/>
      <c r="D1265" s="124">
        <v>7</v>
      </c>
      <c r="E1265" s="124" t="s">
        <v>199</v>
      </c>
      <c r="F1265" s="41"/>
      <c r="G1265" s="41"/>
      <c r="H1265" s="163"/>
      <c r="I1265" s="125" t="s">
        <v>214</v>
      </c>
      <c r="J1265" s="524"/>
      <c r="K1265" s="525">
        <v>12100000</v>
      </c>
      <c r="L1265" s="526">
        <f>SUM(J1265:K1265)</f>
        <v>12100000</v>
      </c>
      <c r="M1265" s="526"/>
      <c r="N1265" s="526"/>
      <c r="O1265" s="526"/>
      <c r="P1265" s="526"/>
      <c r="Q1265" s="526">
        <v>-663640</v>
      </c>
      <c r="R1265" s="526"/>
      <c r="S1265" s="217">
        <f t="shared" si="1434"/>
        <v>-663640</v>
      </c>
      <c r="T1265" s="217">
        <f t="shared" si="1435"/>
        <v>11436360</v>
      </c>
      <c r="U1265" s="526"/>
      <c r="V1265" s="526"/>
      <c r="W1265" s="526"/>
      <c r="X1265" s="526">
        <v>6916681</v>
      </c>
      <c r="Y1265" s="526"/>
      <c r="Z1265" s="217">
        <f>SUM(U1265:Y1265)</f>
        <v>6916681</v>
      </c>
      <c r="AA1265" s="217">
        <f>Z1265+T1265</f>
        <v>18353041</v>
      </c>
      <c r="AB1265" s="526"/>
      <c r="AC1265" s="526"/>
      <c r="AD1265" s="526"/>
      <c r="AE1265" s="526">
        <v>3471101</v>
      </c>
      <c r="AF1265" s="526"/>
      <c r="AG1265" s="217">
        <f t="shared" si="1438"/>
        <v>3471101</v>
      </c>
      <c r="AH1265" s="217">
        <f t="shared" si="1439"/>
        <v>21824142</v>
      </c>
      <c r="AI1265" s="217">
        <v>21824142</v>
      </c>
      <c r="AJ1265" s="764">
        <f>AI1265/AH1265*100</f>
        <v>100</v>
      </c>
    </row>
    <row r="1266" spans="1:36" ht="14">
      <c r="A1266" s="40"/>
      <c r="B1266" s="40"/>
      <c r="C1266" s="124"/>
      <c r="D1266" s="124">
        <v>8</v>
      </c>
      <c r="E1266" s="124" t="s">
        <v>199</v>
      </c>
      <c r="F1266" s="41"/>
      <c r="G1266" s="41"/>
      <c r="H1266" s="163"/>
      <c r="I1266" s="125" t="s">
        <v>212</v>
      </c>
      <c r="J1266" s="524"/>
      <c r="K1266" s="525"/>
      <c r="L1266" s="526">
        <f>SUM(J1266:K1266)</f>
        <v>0</v>
      </c>
      <c r="M1266" s="526">
        <v>879231</v>
      </c>
      <c r="N1266" s="526"/>
      <c r="O1266" s="526"/>
      <c r="P1266" s="526"/>
      <c r="Q1266" s="526">
        <v>12100000</v>
      </c>
      <c r="R1266" s="526"/>
      <c r="S1266" s="217">
        <f t="shared" si="1434"/>
        <v>12979231</v>
      </c>
      <c r="T1266" s="217">
        <f t="shared" si="1435"/>
        <v>12979231</v>
      </c>
      <c r="U1266" s="526"/>
      <c r="V1266" s="526"/>
      <c r="W1266" s="526"/>
      <c r="X1266" s="526"/>
      <c r="Y1266" s="526"/>
      <c r="Z1266" s="217">
        <f>SUM(U1266:Y1266)</f>
        <v>0</v>
      </c>
      <c r="AA1266" s="217">
        <f>Z1266+T1266</f>
        <v>12979231</v>
      </c>
      <c r="AB1266" s="526"/>
      <c r="AC1266" s="526"/>
      <c r="AD1266" s="526"/>
      <c r="AE1266" s="526">
        <v>-1536491</v>
      </c>
      <c r="AF1266" s="526"/>
      <c r="AG1266" s="217">
        <f t="shared" si="1438"/>
        <v>-1536491</v>
      </c>
      <c r="AH1266" s="217">
        <f t="shared" si="1439"/>
        <v>11442740</v>
      </c>
      <c r="AI1266" s="217">
        <v>10601145</v>
      </c>
      <c r="AJ1266" s="764">
        <f>AI1266/AH1266*100</f>
        <v>92.645161910521438</v>
      </c>
    </row>
    <row r="1267" spans="1:36" ht="14">
      <c r="A1267" s="40"/>
      <c r="B1267" s="40"/>
      <c r="C1267" s="124"/>
      <c r="D1267" s="124"/>
      <c r="E1267" s="124"/>
      <c r="F1267" s="41"/>
      <c r="G1267" s="41"/>
      <c r="H1267" s="163"/>
      <c r="I1267" s="125"/>
      <c r="J1267" s="524"/>
      <c r="K1267" s="525"/>
      <c r="L1267" s="526"/>
      <c r="M1267" s="526"/>
      <c r="N1267" s="526"/>
      <c r="O1267" s="526"/>
      <c r="P1267" s="526"/>
      <c r="Q1267" s="526"/>
      <c r="R1267" s="526"/>
      <c r="S1267" s="526"/>
      <c r="T1267" s="526"/>
      <c r="U1267" s="526"/>
      <c r="V1267" s="526"/>
      <c r="W1267" s="526"/>
      <c r="X1267" s="526"/>
      <c r="Y1267" s="526"/>
      <c r="Z1267" s="526"/>
      <c r="AA1267" s="526"/>
      <c r="AB1267" s="526"/>
      <c r="AC1267" s="526"/>
      <c r="AD1267" s="526"/>
      <c r="AE1267" s="526"/>
      <c r="AF1267" s="526"/>
      <c r="AG1267" s="526"/>
      <c r="AH1267" s="526"/>
      <c r="AI1267" s="526"/>
      <c r="AJ1267" s="779"/>
    </row>
    <row r="1268" spans="1:36" ht="14">
      <c r="A1268" s="40"/>
      <c r="B1268" s="40"/>
      <c r="C1268" s="124"/>
      <c r="D1268" s="124"/>
      <c r="E1268" s="124"/>
      <c r="F1268" s="64"/>
      <c r="G1268" s="64"/>
      <c r="H1268" s="65"/>
      <c r="I1268" s="64" t="s">
        <v>38</v>
      </c>
      <c r="J1268" s="333">
        <f>SUM(J1262:J1267)</f>
        <v>19345000</v>
      </c>
      <c r="K1268" s="457">
        <f>SUM(K1262:K1267)</f>
        <v>20100000</v>
      </c>
      <c r="L1268" s="458">
        <f>SUM(L1262:L1267)</f>
        <v>39445000</v>
      </c>
      <c r="M1268" s="458">
        <f t="shared" ref="M1268:T1268" si="1440">SUM(M1262:M1267)</f>
        <v>6093286</v>
      </c>
      <c r="N1268" s="458">
        <f t="shared" si="1440"/>
        <v>0</v>
      </c>
      <c r="O1268" s="458">
        <f t="shared" si="1440"/>
        <v>0</v>
      </c>
      <c r="P1268" s="458">
        <f t="shared" si="1440"/>
        <v>0</v>
      </c>
      <c r="Q1268" s="458">
        <f t="shared" si="1440"/>
        <v>0</v>
      </c>
      <c r="R1268" s="458">
        <f t="shared" si="1440"/>
        <v>0</v>
      </c>
      <c r="S1268" s="458">
        <f t="shared" si="1440"/>
        <v>6093286</v>
      </c>
      <c r="T1268" s="458">
        <f t="shared" si="1440"/>
        <v>45538286</v>
      </c>
      <c r="U1268" s="458"/>
      <c r="V1268" s="458"/>
      <c r="W1268" s="458"/>
      <c r="X1268" s="458"/>
      <c r="Y1268" s="458"/>
      <c r="Z1268" s="458">
        <f t="shared" ref="Z1268:AA1268" si="1441">SUM(Z1262:Z1267)</f>
        <v>0</v>
      </c>
      <c r="AA1268" s="458">
        <f t="shared" si="1441"/>
        <v>45538286</v>
      </c>
      <c r="AB1268" s="458"/>
      <c r="AC1268" s="458"/>
      <c r="AD1268" s="458"/>
      <c r="AE1268" s="458">
        <f t="shared" ref="AE1268:AI1268" si="1442">SUM(AE1262:AE1267)</f>
        <v>-1536491</v>
      </c>
      <c r="AF1268" s="458"/>
      <c r="AG1268" s="458">
        <f t="shared" si="1442"/>
        <v>-1536491</v>
      </c>
      <c r="AH1268" s="458">
        <f t="shared" si="1442"/>
        <v>44001795</v>
      </c>
      <c r="AI1268" s="458">
        <f t="shared" si="1442"/>
        <v>39381722</v>
      </c>
      <c r="AJ1268" s="770">
        <f>AI1268/AH1268*100</f>
        <v>89.500262432475765</v>
      </c>
    </row>
    <row r="1269" spans="1:36" ht="14">
      <c r="A1269" s="40"/>
      <c r="B1269" s="40"/>
      <c r="C1269" s="124"/>
      <c r="D1269" s="124"/>
      <c r="E1269" s="124"/>
      <c r="F1269" s="41"/>
      <c r="G1269" s="41"/>
      <c r="H1269" s="66"/>
      <c r="I1269" s="41"/>
      <c r="J1269" s="126"/>
      <c r="K1269" s="204"/>
      <c r="L1269" s="205"/>
      <c r="M1269" s="205"/>
      <c r="N1269" s="205"/>
      <c r="O1269" s="205"/>
      <c r="P1269" s="205"/>
      <c r="Q1269" s="205"/>
      <c r="R1269" s="205"/>
      <c r="S1269" s="205"/>
      <c r="T1269" s="205"/>
      <c r="U1269" s="205"/>
      <c r="V1269" s="205"/>
      <c r="W1269" s="205"/>
      <c r="X1269" s="205"/>
      <c r="Y1269" s="205"/>
      <c r="Z1269" s="205"/>
      <c r="AA1269" s="205"/>
      <c r="AB1269" s="205"/>
      <c r="AC1269" s="205"/>
      <c r="AD1269" s="205"/>
      <c r="AE1269" s="205"/>
      <c r="AF1269" s="205"/>
      <c r="AG1269" s="205"/>
      <c r="AH1269" s="205"/>
      <c r="AI1269" s="205"/>
      <c r="AJ1269" s="747"/>
    </row>
    <row r="1270" spans="1:36" ht="14">
      <c r="A1270" s="40"/>
      <c r="B1270" s="40">
        <v>3</v>
      </c>
      <c r="C1270" s="124"/>
      <c r="D1270" s="124"/>
      <c r="E1270" s="124"/>
      <c r="F1270" s="41"/>
      <c r="G1270" s="41" t="s">
        <v>120</v>
      </c>
      <c r="H1270" s="66"/>
      <c r="I1270" s="66"/>
      <c r="J1270" s="126"/>
      <c r="K1270" s="204"/>
      <c r="L1270" s="205"/>
      <c r="M1270" s="205"/>
      <c r="N1270" s="205"/>
      <c r="O1270" s="205"/>
      <c r="P1270" s="205"/>
      <c r="Q1270" s="205"/>
      <c r="R1270" s="205"/>
      <c r="S1270" s="205"/>
      <c r="T1270" s="205"/>
      <c r="U1270" s="205"/>
      <c r="V1270" s="205"/>
      <c r="W1270" s="205"/>
      <c r="X1270" s="205"/>
      <c r="Y1270" s="205"/>
      <c r="Z1270" s="205"/>
      <c r="AA1270" s="205"/>
      <c r="AB1270" s="205"/>
      <c r="AC1270" s="205"/>
      <c r="AD1270" s="205"/>
      <c r="AE1270" s="205"/>
      <c r="AF1270" s="205"/>
      <c r="AG1270" s="205"/>
      <c r="AH1270" s="205"/>
      <c r="AI1270" s="205"/>
      <c r="AJ1270" s="747"/>
    </row>
    <row r="1271" spans="1:36" ht="14">
      <c r="A1271" s="40"/>
      <c r="B1271" s="40"/>
      <c r="C1271" s="124">
        <v>1</v>
      </c>
      <c r="D1271" s="124"/>
      <c r="E1271" s="124"/>
      <c r="F1271" s="41"/>
      <c r="G1271" s="41"/>
      <c r="H1271" s="125" t="s">
        <v>35</v>
      </c>
      <c r="I1271" s="66"/>
      <c r="J1271" s="524"/>
      <c r="K1271" s="525"/>
      <c r="L1271" s="526"/>
      <c r="M1271" s="526"/>
      <c r="N1271" s="526"/>
      <c r="O1271" s="526"/>
      <c r="P1271" s="526"/>
      <c r="Q1271" s="526"/>
      <c r="R1271" s="526"/>
      <c r="S1271" s="526"/>
      <c r="T1271" s="526"/>
      <c r="U1271" s="526"/>
      <c r="V1271" s="526"/>
      <c r="W1271" s="526"/>
      <c r="X1271" s="526"/>
      <c r="Y1271" s="526"/>
      <c r="Z1271" s="526"/>
      <c r="AA1271" s="526"/>
      <c r="AB1271" s="526"/>
      <c r="AC1271" s="526"/>
      <c r="AD1271" s="526"/>
      <c r="AE1271" s="526"/>
      <c r="AF1271" s="526"/>
      <c r="AG1271" s="526"/>
      <c r="AH1271" s="526"/>
      <c r="AI1271" s="526"/>
      <c r="AJ1271" s="779"/>
    </row>
    <row r="1272" spans="1:36" ht="14">
      <c r="A1272" s="40"/>
      <c r="B1272" s="40"/>
      <c r="C1272" s="124"/>
      <c r="D1272" s="124">
        <v>3</v>
      </c>
      <c r="E1272" s="124" t="s">
        <v>199</v>
      </c>
      <c r="F1272" s="41"/>
      <c r="G1272" s="41"/>
      <c r="H1272" s="163"/>
      <c r="I1272" s="125" t="s">
        <v>116</v>
      </c>
      <c r="J1272" s="524">
        <v>83330534</v>
      </c>
      <c r="K1272" s="525"/>
      <c r="L1272" s="526">
        <f>SUM(J1272:K1272)</f>
        <v>83330534</v>
      </c>
      <c r="M1272" s="526"/>
      <c r="N1272" s="526"/>
      <c r="O1272" s="526"/>
      <c r="P1272" s="526"/>
      <c r="Q1272" s="526"/>
      <c r="R1272" s="526"/>
      <c r="S1272" s="217">
        <f t="shared" ref="S1272" si="1443">SUM(M1272:R1272)</f>
        <v>0</v>
      </c>
      <c r="T1272" s="217">
        <f t="shared" ref="T1272" si="1444">S1272+L1272</f>
        <v>83330534</v>
      </c>
      <c r="U1272" s="526"/>
      <c r="V1272" s="526"/>
      <c r="W1272" s="526"/>
      <c r="X1272" s="526"/>
      <c r="Y1272" s="526"/>
      <c r="Z1272" s="217">
        <f>SUM(U1272:Y1272)</f>
        <v>0</v>
      </c>
      <c r="AA1272" s="217">
        <f>Z1272+T1272</f>
        <v>83330534</v>
      </c>
      <c r="AB1272" s="526"/>
      <c r="AC1272" s="526"/>
      <c r="AD1272" s="526"/>
      <c r="AE1272" s="526">
        <v>718314</v>
      </c>
      <c r="AF1272" s="526"/>
      <c r="AG1272" s="217">
        <f t="shared" ref="AG1272" si="1445">SUM(AB1272:AF1272)</f>
        <v>718314</v>
      </c>
      <c r="AH1272" s="217">
        <f t="shared" ref="AH1272" si="1446">AG1272+AA1272</f>
        <v>84048848</v>
      </c>
      <c r="AI1272" s="217">
        <v>84048848</v>
      </c>
      <c r="AJ1272" s="764">
        <f>AI1272/AH1272*100</f>
        <v>100</v>
      </c>
    </row>
    <row r="1273" spans="1:36" ht="14">
      <c r="A1273" s="40"/>
      <c r="B1273" s="40"/>
      <c r="C1273" s="124"/>
      <c r="D1273" s="124"/>
      <c r="E1273" s="124"/>
      <c r="F1273" s="41"/>
      <c r="G1273" s="41"/>
      <c r="H1273" s="163"/>
      <c r="I1273" s="125"/>
      <c r="J1273" s="524"/>
      <c r="K1273" s="525"/>
      <c r="L1273" s="526"/>
      <c r="M1273" s="526"/>
      <c r="N1273" s="526"/>
      <c r="O1273" s="526"/>
      <c r="P1273" s="526"/>
      <c r="Q1273" s="526"/>
      <c r="R1273" s="526"/>
      <c r="S1273" s="526"/>
      <c r="T1273" s="526"/>
      <c r="U1273" s="526"/>
      <c r="V1273" s="526"/>
      <c r="W1273" s="526"/>
      <c r="X1273" s="526"/>
      <c r="Y1273" s="526"/>
      <c r="Z1273" s="526"/>
      <c r="AA1273" s="526"/>
      <c r="AB1273" s="526"/>
      <c r="AC1273" s="526"/>
      <c r="AD1273" s="526"/>
      <c r="AE1273" s="526"/>
      <c r="AF1273" s="526"/>
      <c r="AG1273" s="526"/>
      <c r="AH1273" s="526"/>
      <c r="AI1273" s="526"/>
      <c r="AJ1273" s="779"/>
    </row>
    <row r="1274" spans="1:36" ht="14">
      <c r="A1274" s="40"/>
      <c r="B1274" s="40"/>
      <c r="C1274" s="124"/>
      <c r="D1274" s="124"/>
      <c r="E1274" s="124"/>
      <c r="F1274" s="64"/>
      <c r="G1274" s="64"/>
      <c r="H1274" s="65"/>
      <c r="I1274" s="64" t="s">
        <v>38</v>
      </c>
      <c r="J1274" s="333">
        <f>SUM(J1272:J1273)</f>
        <v>83330534</v>
      </c>
      <c r="K1274" s="457"/>
      <c r="L1274" s="458">
        <f>SUM(L1272:L1273)</f>
        <v>83330534</v>
      </c>
      <c r="M1274" s="458">
        <f t="shared" ref="M1274:T1274" si="1447">SUM(M1272:M1273)</f>
        <v>0</v>
      </c>
      <c r="N1274" s="458">
        <f t="shared" si="1447"/>
        <v>0</v>
      </c>
      <c r="O1274" s="458">
        <f t="shared" si="1447"/>
        <v>0</v>
      </c>
      <c r="P1274" s="458">
        <f t="shared" si="1447"/>
        <v>0</v>
      </c>
      <c r="Q1274" s="458">
        <f t="shared" si="1447"/>
        <v>0</v>
      </c>
      <c r="R1274" s="458">
        <f t="shared" si="1447"/>
        <v>0</v>
      </c>
      <c r="S1274" s="458">
        <f t="shared" si="1447"/>
        <v>0</v>
      </c>
      <c r="T1274" s="458">
        <f t="shared" si="1447"/>
        <v>83330534</v>
      </c>
      <c r="U1274" s="458"/>
      <c r="V1274" s="458"/>
      <c r="W1274" s="458"/>
      <c r="X1274" s="458"/>
      <c r="Y1274" s="458"/>
      <c r="Z1274" s="458">
        <f t="shared" ref="Z1274:AA1274" si="1448">SUM(Z1272:Z1273)</f>
        <v>0</v>
      </c>
      <c r="AA1274" s="458">
        <f t="shared" si="1448"/>
        <v>83330534</v>
      </c>
      <c r="AB1274" s="458"/>
      <c r="AC1274" s="458"/>
      <c r="AD1274" s="458"/>
      <c r="AE1274" s="458">
        <f t="shared" ref="AE1274:AI1274" si="1449">SUM(AE1272:AE1273)</f>
        <v>718314</v>
      </c>
      <c r="AF1274" s="458"/>
      <c r="AG1274" s="458">
        <f t="shared" si="1449"/>
        <v>718314</v>
      </c>
      <c r="AH1274" s="458">
        <f t="shared" si="1449"/>
        <v>84048848</v>
      </c>
      <c r="AI1274" s="458">
        <f t="shared" si="1449"/>
        <v>84048848</v>
      </c>
      <c r="AJ1274" s="770">
        <f>AI1274/AH1274*100</f>
        <v>100</v>
      </c>
    </row>
    <row r="1275" spans="1:36" ht="14">
      <c r="A1275" s="40"/>
      <c r="B1275" s="40"/>
      <c r="C1275" s="124"/>
      <c r="D1275" s="124"/>
      <c r="E1275" s="124"/>
      <c r="F1275" s="41"/>
      <c r="G1275" s="41"/>
      <c r="H1275" s="66"/>
      <c r="I1275" s="41"/>
      <c r="J1275" s="126"/>
      <c r="K1275" s="204"/>
      <c r="L1275" s="205"/>
      <c r="M1275" s="205"/>
      <c r="N1275" s="205"/>
      <c r="O1275" s="205"/>
      <c r="P1275" s="205"/>
      <c r="Q1275" s="205"/>
      <c r="R1275" s="205"/>
      <c r="S1275" s="205"/>
      <c r="T1275" s="205"/>
      <c r="U1275" s="205"/>
      <c r="V1275" s="205"/>
      <c r="W1275" s="205"/>
      <c r="X1275" s="205"/>
      <c r="Y1275" s="205"/>
      <c r="Z1275" s="205"/>
      <c r="AA1275" s="205"/>
      <c r="AB1275" s="205"/>
      <c r="AC1275" s="205"/>
      <c r="AD1275" s="205"/>
      <c r="AE1275" s="205"/>
      <c r="AF1275" s="205"/>
      <c r="AG1275" s="205"/>
      <c r="AH1275" s="205"/>
      <c r="AI1275" s="205"/>
      <c r="AJ1275" s="747"/>
    </row>
    <row r="1276" spans="1:36" ht="14">
      <c r="A1276" s="40"/>
      <c r="B1276" s="40">
        <v>4</v>
      </c>
      <c r="C1276" s="124"/>
      <c r="D1276" s="124"/>
      <c r="E1276" s="124"/>
      <c r="F1276" s="41"/>
      <c r="G1276" s="41" t="s">
        <v>121</v>
      </c>
      <c r="H1276" s="66"/>
      <c r="I1276" s="66"/>
      <c r="J1276" s="126"/>
      <c r="K1276" s="204"/>
      <c r="L1276" s="205"/>
      <c r="M1276" s="205"/>
      <c r="N1276" s="205"/>
      <c r="O1276" s="205"/>
      <c r="P1276" s="205"/>
      <c r="Q1276" s="205"/>
      <c r="R1276" s="205"/>
      <c r="S1276" s="205"/>
      <c r="T1276" s="205"/>
      <c r="U1276" s="205"/>
      <c r="V1276" s="205"/>
      <c r="W1276" s="205"/>
      <c r="X1276" s="205"/>
      <c r="Y1276" s="205"/>
      <c r="Z1276" s="205"/>
      <c r="AA1276" s="205"/>
      <c r="AB1276" s="205"/>
      <c r="AC1276" s="205"/>
      <c r="AD1276" s="205"/>
      <c r="AE1276" s="205"/>
      <c r="AF1276" s="205"/>
      <c r="AG1276" s="205"/>
      <c r="AH1276" s="205"/>
      <c r="AI1276" s="205"/>
      <c r="AJ1276" s="747"/>
    </row>
    <row r="1277" spans="1:36" ht="14">
      <c r="A1277" s="40"/>
      <c r="B1277" s="40"/>
      <c r="C1277" s="124"/>
      <c r="D1277" s="124"/>
      <c r="E1277" s="124"/>
      <c r="F1277" s="41"/>
      <c r="G1277" s="41" t="s">
        <v>65</v>
      </c>
      <c r="H1277" s="66"/>
      <c r="I1277" s="66"/>
      <c r="J1277" s="126"/>
      <c r="K1277" s="204"/>
      <c r="L1277" s="205"/>
      <c r="M1277" s="205"/>
      <c r="N1277" s="205"/>
      <c r="O1277" s="205"/>
      <c r="P1277" s="205"/>
      <c r="Q1277" s="205"/>
      <c r="R1277" s="205"/>
      <c r="S1277" s="205"/>
      <c r="T1277" s="205"/>
      <c r="U1277" s="205"/>
      <c r="V1277" s="205"/>
      <c r="W1277" s="205"/>
      <c r="X1277" s="205"/>
      <c r="Y1277" s="205"/>
      <c r="Z1277" s="205"/>
      <c r="AA1277" s="205"/>
      <c r="AB1277" s="205"/>
      <c r="AC1277" s="205"/>
      <c r="AD1277" s="205"/>
      <c r="AE1277" s="205"/>
      <c r="AF1277" s="205"/>
      <c r="AG1277" s="205"/>
      <c r="AH1277" s="205"/>
      <c r="AI1277" s="205"/>
      <c r="AJ1277" s="747"/>
    </row>
    <row r="1278" spans="1:36" ht="14">
      <c r="A1278" s="40"/>
      <c r="B1278" s="40"/>
      <c r="C1278" s="124">
        <v>1</v>
      </c>
      <c r="D1278" s="124"/>
      <c r="E1278" s="124"/>
      <c r="F1278" s="41"/>
      <c r="G1278" s="41"/>
      <c r="H1278" s="125" t="s">
        <v>35</v>
      </c>
      <c r="I1278" s="66"/>
      <c r="J1278" s="524"/>
      <c r="K1278" s="525"/>
      <c r="L1278" s="526"/>
      <c r="M1278" s="526"/>
      <c r="N1278" s="526"/>
      <c r="O1278" s="526"/>
      <c r="P1278" s="526"/>
      <c r="Q1278" s="526"/>
      <c r="R1278" s="526"/>
      <c r="S1278" s="526"/>
      <c r="T1278" s="526"/>
      <c r="U1278" s="526"/>
      <c r="V1278" s="526"/>
      <c r="W1278" s="526"/>
      <c r="X1278" s="526"/>
      <c r="Y1278" s="526"/>
      <c r="Z1278" s="526"/>
      <c r="AA1278" s="526"/>
      <c r="AB1278" s="526"/>
      <c r="AC1278" s="526"/>
      <c r="AD1278" s="526"/>
      <c r="AE1278" s="526"/>
      <c r="AF1278" s="526"/>
      <c r="AG1278" s="526"/>
      <c r="AH1278" s="526"/>
      <c r="AI1278" s="526"/>
      <c r="AJ1278" s="779"/>
    </row>
    <row r="1279" spans="1:36" ht="14">
      <c r="A1279" s="40"/>
      <c r="B1279" s="40"/>
      <c r="C1279" s="124"/>
      <c r="D1279" s="124">
        <v>3</v>
      </c>
      <c r="E1279" s="124" t="s">
        <v>199</v>
      </c>
      <c r="F1279" s="41"/>
      <c r="G1279" s="41"/>
      <c r="H1279" s="163"/>
      <c r="I1279" s="125" t="s">
        <v>116</v>
      </c>
      <c r="J1279" s="524">
        <v>72698943</v>
      </c>
      <c r="K1279" s="525"/>
      <c r="L1279" s="526">
        <f>SUM(J1279:K1279)</f>
        <v>72698943</v>
      </c>
      <c r="M1279" s="526"/>
      <c r="N1279" s="526"/>
      <c r="O1279" s="526"/>
      <c r="P1279" s="526"/>
      <c r="Q1279" s="526"/>
      <c r="R1279" s="526"/>
      <c r="S1279" s="217">
        <f t="shared" ref="S1279" si="1450">SUM(M1279:R1279)</f>
        <v>0</v>
      </c>
      <c r="T1279" s="217">
        <f t="shared" ref="T1279" si="1451">S1279+L1279</f>
        <v>72698943</v>
      </c>
      <c r="U1279" s="526"/>
      <c r="V1279" s="526"/>
      <c r="W1279" s="526"/>
      <c r="X1279" s="526"/>
      <c r="Y1279" s="526"/>
      <c r="Z1279" s="217">
        <f>SUM(U1279:Y1279)</f>
        <v>0</v>
      </c>
      <c r="AA1279" s="217">
        <f>Z1279+T1279</f>
        <v>72698943</v>
      </c>
      <c r="AB1279" s="526"/>
      <c r="AC1279" s="526"/>
      <c r="AD1279" s="526"/>
      <c r="AE1279" s="526">
        <v>1536491</v>
      </c>
      <c r="AF1279" s="526"/>
      <c r="AG1279" s="217">
        <f t="shared" ref="AG1279" si="1452">SUM(AB1279:AF1279)</f>
        <v>1536491</v>
      </c>
      <c r="AH1279" s="217">
        <f t="shared" ref="AH1279" si="1453">AG1279+AA1279</f>
        <v>74235434</v>
      </c>
      <c r="AI1279" s="217">
        <v>74235434</v>
      </c>
      <c r="AJ1279" s="764">
        <f>AI1279/AH1279*100</f>
        <v>100</v>
      </c>
    </row>
    <row r="1280" spans="1:36" ht="7.5" customHeight="1">
      <c r="A1280" s="40"/>
      <c r="B1280" s="40"/>
      <c r="C1280" s="124"/>
      <c r="D1280" s="124"/>
      <c r="E1280" s="124"/>
      <c r="F1280" s="41"/>
      <c r="G1280" s="41"/>
      <c r="H1280" s="163"/>
      <c r="I1280" s="125"/>
      <c r="J1280" s="524"/>
      <c r="K1280" s="525"/>
      <c r="L1280" s="526"/>
      <c r="M1280" s="526"/>
      <c r="N1280" s="526"/>
      <c r="O1280" s="526"/>
      <c r="P1280" s="526"/>
      <c r="Q1280" s="526"/>
      <c r="R1280" s="526"/>
      <c r="S1280" s="526"/>
      <c r="T1280" s="526"/>
      <c r="U1280" s="526"/>
      <c r="V1280" s="526"/>
      <c r="W1280" s="526"/>
      <c r="X1280" s="526"/>
      <c r="Y1280" s="526"/>
      <c r="Z1280" s="526"/>
      <c r="AA1280" s="526"/>
      <c r="AB1280" s="526"/>
      <c r="AC1280" s="526"/>
      <c r="AD1280" s="526"/>
      <c r="AE1280" s="526"/>
      <c r="AF1280" s="526"/>
      <c r="AG1280" s="526"/>
      <c r="AH1280" s="526"/>
      <c r="AI1280" s="526"/>
      <c r="AJ1280" s="779"/>
    </row>
    <row r="1281" spans="1:36" ht="14">
      <c r="A1281" s="40"/>
      <c r="B1281" s="40"/>
      <c r="C1281" s="124"/>
      <c r="D1281" s="124"/>
      <c r="E1281" s="124"/>
      <c r="F1281" s="64"/>
      <c r="G1281" s="64"/>
      <c r="H1281" s="65"/>
      <c r="I1281" s="64" t="s">
        <v>38</v>
      </c>
      <c r="J1281" s="333">
        <f>SUM(J1279:J1280)</f>
        <v>72698943</v>
      </c>
      <c r="K1281" s="457"/>
      <c r="L1281" s="458">
        <f>SUM(L1279:L1280)</f>
        <v>72698943</v>
      </c>
      <c r="M1281" s="458">
        <f t="shared" ref="M1281:T1281" si="1454">SUM(M1279:M1280)</f>
        <v>0</v>
      </c>
      <c r="N1281" s="458">
        <f t="shared" si="1454"/>
        <v>0</v>
      </c>
      <c r="O1281" s="458">
        <f t="shared" si="1454"/>
        <v>0</v>
      </c>
      <c r="P1281" s="458">
        <f t="shared" si="1454"/>
        <v>0</v>
      </c>
      <c r="Q1281" s="458">
        <f t="shared" si="1454"/>
        <v>0</v>
      </c>
      <c r="R1281" s="458">
        <f t="shared" si="1454"/>
        <v>0</v>
      </c>
      <c r="S1281" s="458">
        <f t="shared" si="1454"/>
        <v>0</v>
      </c>
      <c r="T1281" s="458">
        <f t="shared" si="1454"/>
        <v>72698943</v>
      </c>
      <c r="U1281" s="458"/>
      <c r="V1281" s="458"/>
      <c r="W1281" s="458"/>
      <c r="X1281" s="458"/>
      <c r="Y1281" s="458"/>
      <c r="Z1281" s="458">
        <f t="shared" ref="Z1281:AA1281" si="1455">SUM(Z1279:Z1280)</f>
        <v>0</v>
      </c>
      <c r="AA1281" s="458">
        <f t="shared" si="1455"/>
        <v>72698943</v>
      </c>
      <c r="AB1281" s="458"/>
      <c r="AC1281" s="458"/>
      <c r="AD1281" s="458"/>
      <c r="AE1281" s="458">
        <f t="shared" ref="AE1281:AI1281" si="1456">SUM(AE1279:AE1280)</f>
        <v>1536491</v>
      </c>
      <c r="AF1281" s="458"/>
      <c r="AG1281" s="458">
        <f t="shared" si="1456"/>
        <v>1536491</v>
      </c>
      <c r="AH1281" s="458">
        <f t="shared" si="1456"/>
        <v>74235434</v>
      </c>
      <c r="AI1281" s="458">
        <f t="shared" si="1456"/>
        <v>74235434</v>
      </c>
      <c r="AJ1281" s="770">
        <f>AI1281/AH1281*100</f>
        <v>100</v>
      </c>
    </row>
    <row r="1282" spans="1:36" ht="14">
      <c r="A1282" s="40"/>
      <c r="B1282" s="40"/>
      <c r="C1282" s="124"/>
      <c r="D1282" s="124"/>
      <c r="E1282" s="124"/>
      <c r="F1282" s="41"/>
      <c r="G1282" s="41"/>
      <c r="H1282" s="66"/>
      <c r="I1282" s="41"/>
      <c r="J1282" s="126"/>
      <c r="K1282" s="204"/>
      <c r="L1282" s="205"/>
      <c r="M1282" s="205"/>
      <c r="N1282" s="205"/>
      <c r="O1282" s="205"/>
      <c r="P1282" s="205"/>
      <c r="Q1282" s="205"/>
      <c r="R1282" s="205"/>
      <c r="S1282" s="205"/>
      <c r="T1282" s="205"/>
      <c r="U1282" s="205"/>
      <c r="V1282" s="205"/>
      <c r="W1282" s="205"/>
      <c r="X1282" s="205"/>
      <c r="Y1282" s="205"/>
      <c r="Z1282" s="205"/>
      <c r="AA1282" s="205"/>
      <c r="AB1282" s="205"/>
      <c r="AC1282" s="205"/>
      <c r="AD1282" s="205"/>
      <c r="AE1282" s="205"/>
      <c r="AF1282" s="205"/>
      <c r="AG1282" s="205"/>
      <c r="AH1282" s="205"/>
      <c r="AI1282" s="205"/>
      <c r="AJ1282" s="747"/>
    </row>
    <row r="1283" spans="1:36" ht="14">
      <c r="A1283" s="40"/>
      <c r="B1283" s="40">
        <v>5</v>
      </c>
      <c r="C1283" s="124"/>
      <c r="D1283" s="124"/>
      <c r="E1283" s="124"/>
      <c r="F1283" s="41"/>
      <c r="G1283" s="41" t="s">
        <v>186</v>
      </c>
      <c r="H1283" s="66"/>
      <c r="I1283" s="66"/>
      <c r="J1283" s="126"/>
      <c r="K1283" s="204"/>
      <c r="L1283" s="205"/>
      <c r="M1283" s="205"/>
      <c r="N1283" s="205"/>
      <c r="O1283" s="205"/>
      <c r="P1283" s="205"/>
      <c r="Q1283" s="205"/>
      <c r="R1283" s="205"/>
      <c r="S1283" s="205"/>
      <c r="T1283" s="205"/>
      <c r="U1283" s="205"/>
      <c r="V1283" s="205"/>
      <c r="W1283" s="205"/>
      <c r="X1283" s="205"/>
      <c r="Y1283" s="205"/>
      <c r="Z1283" s="205"/>
      <c r="AA1283" s="205"/>
      <c r="AB1283" s="205"/>
      <c r="AC1283" s="205"/>
      <c r="AD1283" s="205"/>
      <c r="AE1283" s="205"/>
      <c r="AF1283" s="205"/>
      <c r="AG1283" s="205"/>
      <c r="AH1283" s="205"/>
      <c r="AI1283" s="205"/>
      <c r="AJ1283" s="747"/>
    </row>
    <row r="1284" spans="1:36" ht="14">
      <c r="A1284" s="40"/>
      <c r="B1284" s="40"/>
      <c r="C1284" s="124">
        <v>1</v>
      </c>
      <c r="D1284" s="124"/>
      <c r="E1284" s="124"/>
      <c r="F1284" s="41"/>
      <c r="G1284" s="41"/>
      <c r="H1284" s="125" t="s">
        <v>35</v>
      </c>
      <c r="I1284" s="66"/>
      <c r="J1284" s="524"/>
      <c r="K1284" s="525"/>
      <c r="L1284" s="526"/>
      <c r="M1284" s="526"/>
      <c r="N1284" s="526"/>
      <c r="O1284" s="526"/>
      <c r="P1284" s="526"/>
      <c r="Q1284" s="526"/>
      <c r="R1284" s="526"/>
      <c r="S1284" s="526"/>
      <c r="T1284" s="526"/>
      <c r="U1284" s="526"/>
      <c r="V1284" s="526"/>
      <c r="W1284" s="526"/>
      <c r="X1284" s="526"/>
      <c r="Y1284" s="526"/>
      <c r="Z1284" s="526"/>
      <c r="AA1284" s="526"/>
      <c r="AB1284" s="526"/>
      <c r="AC1284" s="526"/>
      <c r="AD1284" s="526"/>
      <c r="AE1284" s="526"/>
      <c r="AF1284" s="526"/>
      <c r="AG1284" s="526"/>
      <c r="AH1284" s="526"/>
      <c r="AI1284" s="526"/>
      <c r="AJ1284" s="779"/>
    </row>
    <row r="1285" spans="1:36" ht="14">
      <c r="A1285" s="40"/>
      <c r="B1285" s="40"/>
      <c r="C1285" s="124"/>
      <c r="D1285" s="124">
        <v>3</v>
      </c>
      <c r="E1285" s="124" t="s">
        <v>199</v>
      </c>
      <c r="F1285" s="41"/>
      <c r="G1285" s="41"/>
      <c r="H1285" s="163"/>
      <c r="I1285" s="125" t="s">
        <v>116</v>
      </c>
      <c r="J1285" s="524">
        <v>952500</v>
      </c>
      <c r="K1285" s="525"/>
      <c r="L1285" s="526">
        <f>SUM(J1285:K1285)</f>
        <v>952500</v>
      </c>
      <c r="M1285" s="526">
        <v>67784</v>
      </c>
      <c r="N1285" s="526"/>
      <c r="O1285" s="526"/>
      <c r="P1285" s="526"/>
      <c r="Q1285" s="526"/>
      <c r="R1285" s="526"/>
      <c r="S1285" s="217">
        <f t="shared" ref="S1285" si="1457">SUM(M1285:R1285)</f>
        <v>67784</v>
      </c>
      <c r="T1285" s="217">
        <f t="shared" ref="T1285" si="1458">S1285+L1285</f>
        <v>1020284</v>
      </c>
      <c r="U1285" s="526"/>
      <c r="V1285" s="526"/>
      <c r="W1285" s="526"/>
      <c r="X1285" s="526"/>
      <c r="Y1285" s="526"/>
      <c r="Z1285" s="217">
        <f>SUM(U1285:Y1285)</f>
        <v>0</v>
      </c>
      <c r="AA1285" s="217">
        <f>Z1285+T1285</f>
        <v>1020284</v>
      </c>
      <c r="AB1285" s="526"/>
      <c r="AC1285" s="526"/>
      <c r="AD1285" s="526"/>
      <c r="AE1285" s="526"/>
      <c r="AF1285" s="526"/>
      <c r="AG1285" s="217">
        <f t="shared" ref="AG1285" si="1459">SUM(AB1285:AF1285)</f>
        <v>0</v>
      </c>
      <c r="AH1285" s="217">
        <f t="shared" ref="AH1285" si="1460">AG1285+AA1285</f>
        <v>1020284</v>
      </c>
      <c r="AI1285" s="217">
        <v>662710</v>
      </c>
      <c r="AJ1285" s="764">
        <f>AI1285/AH1285*100</f>
        <v>64.953483539877126</v>
      </c>
    </row>
    <row r="1286" spans="1:36" ht="7" customHeight="1">
      <c r="A1286" s="40"/>
      <c r="B1286" s="40"/>
      <c r="C1286" s="124"/>
      <c r="D1286" s="124"/>
      <c r="E1286" s="124"/>
      <c r="F1286" s="41"/>
      <c r="G1286" s="41"/>
      <c r="H1286" s="163"/>
      <c r="I1286" s="125"/>
      <c r="J1286" s="524"/>
      <c r="K1286" s="525"/>
      <c r="L1286" s="526"/>
      <c r="M1286" s="526"/>
      <c r="N1286" s="526"/>
      <c r="O1286" s="526"/>
      <c r="P1286" s="526"/>
      <c r="Q1286" s="526"/>
      <c r="R1286" s="526"/>
      <c r="S1286" s="526"/>
      <c r="T1286" s="526"/>
      <c r="U1286" s="526"/>
      <c r="V1286" s="526"/>
      <c r="W1286" s="526"/>
      <c r="X1286" s="526"/>
      <c r="Y1286" s="526"/>
      <c r="Z1286" s="526"/>
      <c r="AA1286" s="526"/>
      <c r="AB1286" s="526"/>
      <c r="AC1286" s="526"/>
      <c r="AD1286" s="526"/>
      <c r="AE1286" s="526"/>
      <c r="AF1286" s="526"/>
      <c r="AG1286" s="526"/>
      <c r="AH1286" s="526"/>
      <c r="AI1286" s="526"/>
      <c r="AJ1286" s="779"/>
    </row>
    <row r="1287" spans="1:36" ht="14">
      <c r="A1287" s="40"/>
      <c r="B1287" s="40"/>
      <c r="C1287" s="124"/>
      <c r="D1287" s="124"/>
      <c r="E1287" s="124"/>
      <c r="F1287" s="64"/>
      <c r="G1287" s="64"/>
      <c r="H1287" s="65"/>
      <c r="I1287" s="64" t="s">
        <v>38</v>
      </c>
      <c r="J1287" s="333">
        <f>SUM(J1285:J1286)</f>
        <v>952500</v>
      </c>
      <c r="K1287" s="457"/>
      <c r="L1287" s="458">
        <f>SUM(L1285:L1286)</f>
        <v>952500</v>
      </c>
      <c r="M1287" s="458">
        <f t="shared" ref="M1287:T1287" si="1461">SUM(M1285:M1286)</f>
        <v>67784</v>
      </c>
      <c r="N1287" s="458">
        <f t="shared" si="1461"/>
        <v>0</v>
      </c>
      <c r="O1287" s="458">
        <f t="shared" si="1461"/>
        <v>0</v>
      </c>
      <c r="P1287" s="458">
        <f t="shared" si="1461"/>
        <v>0</v>
      </c>
      <c r="Q1287" s="458">
        <f t="shared" si="1461"/>
        <v>0</v>
      </c>
      <c r="R1287" s="458">
        <f t="shared" si="1461"/>
        <v>0</v>
      </c>
      <c r="S1287" s="458">
        <f t="shared" si="1461"/>
        <v>67784</v>
      </c>
      <c r="T1287" s="458">
        <f t="shared" si="1461"/>
        <v>1020284</v>
      </c>
      <c r="U1287" s="458"/>
      <c r="V1287" s="458"/>
      <c r="W1287" s="458"/>
      <c r="X1287" s="458"/>
      <c r="Y1287" s="458"/>
      <c r="Z1287" s="458">
        <f t="shared" ref="Z1287:AA1287" si="1462">SUM(Z1285:Z1286)</f>
        <v>0</v>
      </c>
      <c r="AA1287" s="458">
        <f t="shared" si="1462"/>
        <v>1020284</v>
      </c>
      <c r="AB1287" s="458"/>
      <c r="AC1287" s="458"/>
      <c r="AD1287" s="458"/>
      <c r="AE1287" s="458"/>
      <c r="AF1287" s="458"/>
      <c r="AG1287" s="458">
        <f t="shared" ref="AG1287:AH1287" si="1463">SUM(AG1285:AG1286)</f>
        <v>0</v>
      </c>
      <c r="AH1287" s="458">
        <f t="shared" si="1463"/>
        <v>1020284</v>
      </c>
      <c r="AI1287" s="458">
        <f t="shared" ref="AI1287" si="1464">SUM(AI1285:AI1286)</f>
        <v>662710</v>
      </c>
      <c r="AJ1287" s="770">
        <f>AI1287/AH1287*100</f>
        <v>64.953483539877126</v>
      </c>
    </row>
    <row r="1288" spans="1:36" ht="7.5" customHeight="1">
      <c r="A1288" s="40"/>
      <c r="B1288" s="40"/>
      <c r="C1288" s="124"/>
      <c r="D1288" s="124"/>
      <c r="E1288" s="124"/>
      <c r="F1288" s="41"/>
      <c r="G1288" s="41"/>
      <c r="H1288" s="66"/>
      <c r="I1288" s="41"/>
      <c r="J1288" s="126"/>
      <c r="K1288" s="204"/>
      <c r="L1288" s="205"/>
      <c r="M1288" s="205"/>
      <c r="N1288" s="205"/>
      <c r="O1288" s="205"/>
      <c r="P1288" s="205"/>
      <c r="Q1288" s="205"/>
      <c r="R1288" s="205"/>
      <c r="S1288" s="205"/>
      <c r="T1288" s="205"/>
      <c r="U1288" s="205"/>
      <c r="V1288" s="205"/>
      <c r="W1288" s="205"/>
      <c r="X1288" s="205"/>
      <c r="Y1288" s="205"/>
      <c r="Z1288" s="205"/>
      <c r="AA1288" s="205"/>
      <c r="AB1288" s="205"/>
      <c r="AC1288" s="205"/>
      <c r="AD1288" s="205"/>
      <c r="AE1288" s="205"/>
      <c r="AF1288" s="205"/>
      <c r="AG1288" s="205"/>
      <c r="AH1288" s="205"/>
      <c r="AI1288" s="205"/>
      <c r="AJ1288" s="747"/>
    </row>
    <row r="1289" spans="1:36" ht="14">
      <c r="A1289" s="40"/>
      <c r="B1289" s="40"/>
      <c r="C1289" s="124"/>
      <c r="D1289" s="124"/>
      <c r="E1289" s="124"/>
      <c r="F1289" s="166"/>
      <c r="G1289" s="166"/>
      <c r="H1289" s="527"/>
      <c r="I1289" s="166" t="s">
        <v>37</v>
      </c>
      <c r="J1289" s="534">
        <f>J1281+J1274+J1268+J1258+J1287</f>
        <v>366506977</v>
      </c>
      <c r="K1289" s="535">
        <f>K1281+K1274+K1268+K1258+K1287</f>
        <v>44000000</v>
      </c>
      <c r="L1289" s="534">
        <f>L1281+L1274+L1268+L1258+L1287</f>
        <v>410506977</v>
      </c>
      <c r="M1289" s="534">
        <f t="shared" ref="M1289:T1289" si="1465">M1281+M1274+M1268+M1258+M1287</f>
        <v>67701925</v>
      </c>
      <c r="N1289" s="534">
        <f t="shared" si="1465"/>
        <v>0</v>
      </c>
      <c r="O1289" s="534">
        <f t="shared" si="1465"/>
        <v>0</v>
      </c>
      <c r="P1289" s="534">
        <f t="shared" si="1465"/>
        <v>0</v>
      </c>
      <c r="Q1289" s="534">
        <f t="shared" si="1465"/>
        <v>0</v>
      </c>
      <c r="R1289" s="534">
        <f t="shared" si="1465"/>
        <v>0</v>
      </c>
      <c r="S1289" s="534">
        <f t="shared" si="1465"/>
        <v>67701925</v>
      </c>
      <c r="T1289" s="534">
        <f t="shared" si="1465"/>
        <v>478208902</v>
      </c>
      <c r="U1289" s="534"/>
      <c r="V1289" s="534"/>
      <c r="W1289" s="534"/>
      <c r="X1289" s="534">
        <f t="shared" ref="X1289:AA1289" si="1466">X1281+X1274+X1268+X1258+X1287</f>
        <v>-22223271</v>
      </c>
      <c r="Y1289" s="534"/>
      <c r="Z1289" s="534">
        <f t="shared" si="1466"/>
        <v>-22223271</v>
      </c>
      <c r="AA1289" s="534">
        <f t="shared" si="1466"/>
        <v>455985631</v>
      </c>
      <c r="AB1289" s="534">
        <f t="shared" ref="AB1289:AE1289" si="1467">AB1281+AB1274+AB1268+AB1258+AB1287</f>
        <v>0</v>
      </c>
      <c r="AC1289" s="534">
        <f t="shared" si="1467"/>
        <v>17178380</v>
      </c>
      <c r="AD1289" s="534">
        <f t="shared" si="1467"/>
        <v>0</v>
      </c>
      <c r="AE1289" s="534">
        <f t="shared" si="1467"/>
        <v>0</v>
      </c>
      <c r="AF1289" s="534"/>
      <c r="AG1289" s="534">
        <f t="shared" ref="AG1289:AH1289" si="1468">AG1281+AG1274+AG1268+AG1258+AG1287</f>
        <v>17178380</v>
      </c>
      <c r="AH1289" s="534">
        <f t="shared" si="1468"/>
        <v>473164011</v>
      </c>
      <c r="AI1289" s="534">
        <f t="shared" ref="AI1289" si="1469">AI1281+AI1274+AI1268+AI1258+AI1287</f>
        <v>403116170</v>
      </c>
      <c r="AJ1289" s="776">
        <f>AI1289/AH1289*100</f>
        <v>85.19586456882918</v>
      </c>
    </row>
    <row r="1290" spans="1:36" ht="9.5" customHeight="1">
      <c r="A1290" s="40"/>
      <c r="B1290" s="40"/>
      <c r="C1290" s="124"/>
      <c r="D1290" s="124"/>
      <c r="E1290" s="124"/>
      <c r="F1290" s="41"/>
      <c r="G1290" s="41"/>
      <c r="H1290" s="163"/>
      <c r="I1290" s="125"/>
      <c r="J1290" s="524"/>
      <c r="K1290" s="525"/>
      <c r="L1290" s="526"/>
      <c r="M1290" s="526"/>
      <c r="N1290" s="526"/>
      <c r="O1290" s="526"/>
      <c r="P1290" s="526"/>
      <c r="Q1290" s="526"/>
      <c r="R1290" s="526"/>
      <c r="S1290" s="526"/>
      <c r="T1290" s="526"/>
      <c r="U1290" s="526"/>
      <c r="V1290" s="526"/>
      <c r="W1290" s="526"/>
      <c r="X1290" s="526"/>
      <c r="Y1290" s="526"/>
      <c r="Z1290" s="526"/>
      <c r="AA1290" s="526"/>
      <c r="AB1290" s="526"/>
      <c r="AC1290" s="526"/>
      <c r="AD1290" s="526"/>
      <c r="AE1290" s="526"/>
      <c r="AF1290" s="526"/>
      <c r="AG1290" s="526"/>
      <c r="AH1290" s="526"/>
      <c r="AI1290" s="526"/>
      <c r="AJ1290" s="779"/>
    </row>
    <row r="1291" spans="1:36" ht="14">
      <c r="A1291" s="40">
        <v>123</v>
      </c>
      <c r="B1291" s="40"/>
      <c r="C1291" s="124"/>
      <c r="D1291" s="124"/>
      <c r="E1291" s="124"/>
      <c r="F1291" s="41" t="s">
        <v>80</v>
      </c>
      <c r="G1291" s="41"/>
      <c r="H1291" s="163"/>
      <c r="I1291" s="66"/>
      <c r="J1291" s="524"/>
      <c r="K1291" s="525"/>
      <c r="L1291" s="526"/>
      <c r="M1291" s="526"/>
      <c r="N1291" s="526"/>
      <c r="O1291" s="526"/>
      <c r="P1291" s="526"/>
      <c r="Q1291" s="526"/>
      <c r="R1291" s="526"/>
      <c r="S1291" s="526"/>
      <c r="T1291" s="526"/>
      <c r="U1291" s="526"/>
      <c r="V1291" s="526"/>
      <c r="W1291" s="526"/>
      <c r="X1291" s="526"/>
      <c r="Y1291" s="526"/>
      <c r="Z1291" s="526"/>
      <c r="AA1291" s="526"/>
      <c r="AB1291" s="526"/>
      <c r="AC1291" s="526"/>
      <c r="AD1291" s="526"/>
      <c r="AE1291" s="526"/>
      <c r="AF1291" s="526"/>
      <c r="AG1291" s="526"/>
      <c r="AH1291" s="526"/>
      <c r="AI1291" s="526"/>
      <c r="AJ1291" s="779"/>
    </row>
    <row r="1292" spans="1:36" ht="14">
      <c r="A1292" s="40"/>
      <c r="B1292" s="40"/>
      <c r="C1292" s="124">
        <v>1</v>
      </c>
      <c r="D1292" s="124"/>
      <c r="E1292" s="124"/>
      <c r="F1292" s="41"/>
      <c r="G1292" s="41"/>
      <c r="H1292" s="125" t="s">
        <v>35</v>
      </c>
      <c r="I1292" s="66"/>
      <c r="J1292" s="524"/>
      <c r="K1292" s="525"/>
      <c r="L1292" s="526"/>
      <c r="M1292" s="526"/>
      <c r="N1292" s="526"/>
      <c r="O1292" s="526"/>
      <c r="P1292" s="526"/>
      <c r="Q1292" s="526"/>
      <c r="R1292" s="526"/>
      <c r="S1292" s="526"/>
      <c r="T1292" s="526"/>
      <c r="U1292" s="526"/>
      <c r="V1292" s="526"/>
      <c r="W1292" s="526"/>
      <c r="X1292" s="526"/>
      <c r="Y1292" s="526"/>
      <c r="Z1292" s="526"/>
      <c r="AA1292" s="526"/>
      <c r="AB1292" s="526"/>
      <c r="AC1292" s="526"/>
      <c r="AD1292" s="526"/>
      <c r="AE1292" s="526"/>
      <c r="AF1292" s="526"/>
      <c r="AG1292" s="526"/>
      <c r="AH1292" s="526"/>
      <c r="AI1292" s="526"/>
      <c r="AJ1292" s="779"/>
    </row>
    <row r="1293" spans="1:36" ht="14">
      <c r="A1293" s="40"/>
      <c r="B1293" s="40"/>
      <c r="C1293" s="124"/>
      <c r="D1293" s="124">
        <v>3</v>
      </c>
      <c r="E1293" s="124" t="s">
        <v>199</v>
      </c>
      <c r="F1293" s="41"/>
      <c r="G1293" s="41"/>
      <c r="H1293" s="163"/>
      <c r="I1293" s="125" t="s">
        <v>116</v>
      </c>
      <c r="J1293" s="524">
        <v>1000000</v>
      </c>
      <c r="K1293" s="525"/>
      <c r="L1293" s="526">
        <f>SUM(J1293:K1293)</f>
        <v>1000000</v>
      </c>
      <c r="M1293" s="526">
        <v>97692</v>
      </c>
      <c r="N1293" s="526"/>
      <c r="O1293" s="526"/>
      <c r="P1293" s="526"/>
      <c r="Q1293" s="526"/>
      <c r="R1293" s="526"/>
      <c r="S1293" s="217">
        <f t="shared" ref="S1293:S1295" si="1470">SUM(M1293:R1293)</f>
        <v>97692</v>
      </c>
      <c r="T1293" s="217">
        <f t="shared" ref="T1293:T1295" si="1471">S1293+L1293</f>
        <v>1097692</v>
      </c>
      <c r="U1293" s="526"/>
      <c r="V1293" s="526"/>
      <c r="W1293" s="526"/>
      <c r="X1293" s="526"/>
      <c r="Y1293" s="526"/>
      <c r="Z1293" s="217">
        <f>SUM(U1293:Y1293)</f>
        <v>0</v>
      </c>
      <c r="AA1293" s="217">
        <f>Z1293+T1293</f>
        <v>1097692</v>
      </c>
      <c r="AB1293" s="526"/>
      <c r="AC1293" s="526"/>
      <c r="AD1293" s="526"/>
      <c r="AE1293" s="526"/>
      <c r="AF1293" s="526"/>
      <c r="AG1293" s="217">
        <f t="shared" ref="AG1293" si="1472">SUM(AB1293:AF1293)</f>
        <v>0</v>
      </c>
      <c r="AH1293" s="217">
        <f t="shared" ref="AH1293" si="1473">AG1293+AA1293</f>
        <v>1097692</v>
      </c>
      <c r="AI1293" s="217">
        <v>97692</v>
      </c>
      <c r="AJ1293" s="764">
        <f>AI1293/AH1293*100</f>
        <v>8.899764232589833</v>
      </c>
    </row>
    <row r="1294" spans="1:36" ht="14">
      <c r="A1294" s="40"/>
      <c r="B1294" s="40"/>
      <c r="C1294" s="124">
        <v>2</v>
      </c>
      <c r="D1294" s="124"/>
      <c r="E1294" s="124"/>
      <c r="F1294" s="41"/>
      <c r="G1294" s="41"/>
      <c r="H1294" s="162" t="s">
        <v>211</v>
      </c>
      <c r="I1294" s="125"/>
      <c r="J1294" s="524"/>
      <c r="K1294" s="525"/>
      <c r="L1294" s="526"/>
      <c r="M1294" s="526"/>
      <c r="N1294" s="526"/>
      <c r="O1294" s="526"/>
      <c r="P1294" s="526"/>
      <c r="Q1294" s="526"/>
      <c r="R1294" s="526"/>
      <c r="S1294" s="217"/>
      <c r="T1294" s="217"/>
      <c r="U1294" s="526"/>
      <c r="V1294" s="526"/>
      <c r="W1294" s="526"/>
      <c r="X1294" s="526"/>
      <c r="Y1294" s="526"/>
      <c r="Z1294" s="217"/>
      <c r="AA1294" s="217"/>
      <c r="AB1294" s="526"/>
      <c r="AC1294" s="526"/>
      <c r="AD1294" s="526"/>
      <c r="AE1294" s="526"/>
      <c r="AF1294" s="526"/>
      <c r="AG1294" s="217"/>
      <c r="AH1294" s="217"/>
      <c r="AI1294" s="217"/>
      <c r="AJ1294" s="764"/>
    </row>
    <row r="1295" spans="1:36" ht="14">
      <c r="A1295" s="40"/>
      <c r="B1295" s="40"/>
      <c r="C1295" s="124"/>
      <c r="D1295" s="124">
        <v>6</v>
      </c>
      <c r="E1295" s="124" t="s">
        <v>199</v>
      </c>
      <c r="F1295" s="41"/>
      <c r="G1295" s="41"/>
      <c r="H1295" s="163"/>
      <c r="I1295" s="125" t="s">
        <v>213</v>
      </c>
      <c r="J1295" s="524"/>
      <c r="K1295" s="525">
        <v>3000000</v>
      </c>
      <c r="L1295" s="526">
        <f>SUM(J1295:K1295)</f>
        <v>3000000</v>
      </c>
      <c r="M1295" s="526">
        <v>3253740</v>
      </c>
      <c r="N1295" s="526"/>
      <c r="O1295" s="526"/>
      <c r="P1295" s="526"/>
      <c r="Q1295" s="526"/>
      <c r="R1295" s="526"/>
      <c r="S1295" s="217">
        <f t="shared" si="1470"/>
        <v>3253740</v>
      </c>
      <c r="T1295" s="217">
        <f t="shared" si="1471"/>
        <v>6253740</v>
      </c>
      <c r="U1295" s="526"/>
      <c r="V1295" s="526"/>
      <c r="W1295" s="526"/>
      <c r="X1295" s="526"/>
      <c r="Y1295" s="526"/>
      <c r="Z1295" s="217">
        <f>SUM(U1295:Y1295)</f>
        <v>0</v>
      </c>
      <c r="AA1295" s="217">
        <f>Z1295+T1295</f>
        <v>6253740</v>
      </c>
      <c r="AB1295" s="526"/>
      <c r="AC1295" s="526"/>
      <c r="AD1295" s="526"/>
      <c r="AE1295" s="526">
        <v>-1650000</v>
      </c>
      <c r="AF1295" s="526"/>
      <c r="AG1295" s="217">
        <f t="shared" ref="AG1295" si="1474">SUM(AB1295:AF1295)</f>
        <v>-1650000</v>
      </c>
      <c r="AH1295" s="217">
        <f t="shared" ref="AH1295" si="1475">AG1295+AA1295</f>
        <v>4603740</v>
      </c>
      <c r="AI1295" s="217">
        <v>1532890</v>
      </c>
      <c r="AJ1295" s="764">
        <f>AI1295/AH1295*100</f>
        <v>33.29662404914265</v>
      </c>
    </row>
    <row r="1296" spans="1:36" ht="14">
      <c r="A1296" s="160"/>
      <c r="B1296" s="160"/>
      <c r="C1296" s="161"/>
      <c r="D1296" s="161">
        <v>7</v>
      </c>
      <c r="E1296" s="161" t="s">
        <v>199</v>
      </c>
      <c r="F1296" s="41"/>
      <c r="G1296" s="41"/>
      <c r="H1296" s="163"/>
      <c r="I1296" s="125" t="s">
        <v>214</v>
      </c>
      <c r="J1296" s="526"/>
      <c r="K1296" s="576"/>
      <c r="L1296" s="526"/>
      <c r="M1296" s="526"/>
      <c r="N1296" s="526"/>
      <c r="O1296" s="526"/>
      <c r="P1296" s="526"/>
      <c r="Q1296" s="526"/>
      <c r="R1296" s="526"/>
      <c r="S1296" s="217"/>
      <c r="T1296" s="217"/>
      <c r="U1296" s="526"/>
      <c r="V1296" s="526"/>
      <c r="W1296" s="526"/>
      <c r="X1296" s="526"/>
      <c r="Y1296" s="526"/>
      <c r="Z1296" s="217"/>
      <c r="AA1296" s="217"/>
      <c r="AB1296" s="526"/>
      <c r="AC1296" s="526"/>
      <c r="AD1296" s="526"/>
      <c r="AE1296" s="526">
        <v>650000</v>
      </c>
      <c r="AF1296" s="526"/>
      <c r="AG1296" s="217">
        <f t="shared" ref="AG1296" si="1476">SUM(AB1296:AF1296)</f>
        <v>650000</v>
      </c>
      <c r="AH1296" s="217">
        <f t="shared" ref="AH1296" si="1477">AG1296+AA1296</f>
        <v>650000</v>
      </c>
      <c r="AI1296" s="217"/>
      <c r="AJ1296" s="764"/>
    </row>
    <row r="1297" spans="1:36" ht="14">
      <c r="A1297" s="40"/>
      <c r="B1297" s="40"/>
      <c r="C1297" s="124"/>
      <c r="D1297" s="124"/>
      <c r="E1297" s="124"/>
      <c r="F1297" s="41"/>
      <c r="G1297" s="41"/>
      <c r="H1297" s="163"/>
      <c r="I1297" s="125"/>
      <c r="J1297" s="524"/>
      <c r="K1297" s="525"/>
      <c r="L1297" s="526"/>
      <c r="M1297" s="526"/>
      <c r="N1297" s="526"/>
      <c r="O1297" s="526"/>
      <c r="P1297" s="526"/>
      <c r="Q1297" s="526"/>
      <c r="R1297" s="526"/>
      <c r="S1297" s="526"/>
      <c r="T1297" s="526"/>
      <c r="U1297" s="526"/>
      <c r="V1297" s="526"/>
      <c r="W1297" s="526"/>
      <c r="X1297" s="526"/>
      <c r="Y1297" s="526"/>
      <c r="Z1297" s="526"/>
      <c r="AA1297" s="526"/>
      <c r="AB1297" s="526"/>
      <c r="AC1297" s="526"/>
      <c r="AD1297" s="526"/>
      <c r="AE1297" s="526"/>
      <c r="AF1297" s="526"/>
      <c r="AG1297" s="526"/>
      <c r="AH1297" s="526"/>
      <c r="AI1297" s="526"/>
      <c r="AJ1297" s="779"/>
    </row>
    <row r="1298" spans="1:36" ht="14">
      <c r="A1298" s="40"/>
      <c r="B1298" s="40"/>
      <c r="C1298" s="124"/>
      <c r="D1298" s="124"/>
      <c r="E1298" s="124"/>
      <c r="F1298" s="166"/>
      <c r="G1298" s="166"/>
      <c r="H1298" s="527"/>
      <c r="I1298" s="166" t="s">
        <v>37</v>
      </c>
      <c r="J1298" s="534">
        <f>SUM(J1292:J1297)</f>
        <v>1000000</v>
      </c>
      <c r="K1298" s="535">
        <f>SUM(K1290:K1297)</f>
        <v>3000000</v>
      </c>
      <c r="L1298" s="534">
        <f>SUM(L1291:L1295)</f>
        <v>4000000</v>
      </c>
      <c r="M1298" s="534">
        <f t="shared" ref="M1298:T1298" si="1478">SUM(M1291:M1295)</f>
        <v>3351432</v>
      </c>
      <c r="N1298" s="534">
        <f t="shared" si="1478"/>
        <v>0</v>
      </c>
      <c r="O1298" s="534">
        <f t="shared" si="1478"/>
        <v>0</v>
      </c>
      <c r="P1298" s="534">
        <f t="shared" si="1478"/>
        <v>0</v>
      </c>
      <c r="Q1298" s="534">
        <f t="shared" si="1478"/>
        <v>0</v>
      </c>
      <c r="R1298" s="534">
        <f t="shared" si="1478"/>
        <v>0</v>
      </c>
      <c r="S1298" s="534">
        <f t="shared" si="1478"/>
        <v>3351432</v>
      </c>
      <c r="T1298" s="534">
        <f t="shared" si="1478"/>
        <v>7351432</v>
      </c>
      <c r="U1298" s="534"/>
      <c r="V1298" s="534"/>
      <c r="W1298" s="534"/>
      <c r="X1298" s="534"/>
      <c r="Y1298" s="534"/>
      <c r="Z1298" s="534">
        <f t="shared" ref="Z1298:AA1298" si="1479">SUM(Z1291:Z1295)</f>
        <v>0</v>
      </c>
      <c r="AA1298" s="534">
        <f t="shared" si="1479"/>
        <v>7351432</v>
      </c>
      <c r="AB1298" s="534"/>
      <c r="AC1298" s="534"/>
      <c r="AD1298" s="534"/>
      <c r="AE1298" s="534">
        <f>SUM(AE1291:AE1296)</f>
        <v>-1000000</v>
      </c>
      <c r="AF1298" s="534"/>
      <c r="AG1298" s="534">
        <f>SUM(AG1291:AG1296)</f>
        <v>-1000000</v>
      </c>
      <c r="AH1298" s="534">
        <f>SUM(AH1291:AH1296)</f>
        <v>6351432</v>
      </c>
      <c r="AI1298" s="534">
        <f>SUM(AI1291:AI1295)</f>
        <v>1630582</v>
      </c>
      <c r="AJ1298" s="776">
        <f>AI1298/AH1298*100</f>
        <v>25.672667203238575</v>
      </c>
    </row>
    <row r="1299" spans="1:36" ht="14">
      <c r="A1299" s="40"/>
      <c r="B1299" s="40"/>
      <c r="C1299" s="124"/>
      <c r="D1299" s="124"/>
      <c r="E1299" s="124"/>
      <c r="F1299" s="41"/>
      <c r="G1299" s="41"/>
      <c r="H1299" s="163"/>
      <c r="I1299" s="125"/>
      <c r="J1299" s="524"/>
      <c r="K1299" s="525"/>
      <c r="L1299" s="526"/>
      <c r="M1299" s="526"/>
      <c r="N1299" s="526"/>
      <c r="O1299" s="526"/>
      <c r="P1299" s="526"/>
      <c r="Q1299" s="526"/>
      <c r="R1299" s="526"/>
      <c r="S1299" s="526"/>
      <c r="T1299" s="526"/>
      <c r="U1299" s="526"/>
      <c r="V1299" s="526"/>
      <c r="W1299" s="526"/>
      <c r="X1299" s="526"/>
      <c r="Y1299" s="526"/>
      <c r="Z1299" s="526"/>
      <c r="AA1299" s="526"/>
      <c r="AB1299" s="526"/>
      <c r="AC1299" s="526"/>
      <c r="AD1299" s="526"/>
      <c r="AE1299" s="526"/>
      <c r="AF1299" s="526"/>
      <c r="AG1299" s="526"/>
      <c r="AH1299" s="526"/>
      <c r="AI1299" s="526"/>
      <c r="AJ1299" s="779"/>
    </row>
    <row r="1300" spans="1:36" ht="14">
      <c r="A1300" s="40">
        <v>124</v>
      </c>
      <c r="B1300" s="40"/>
      <c r="C1300" s="124"/>
      <c r="D1300" s="124"/>
      <c r="E1300" s="124"/>
      <c r="F1300" s="41" t="s">
        <v>81</v>
      </c>
      <c r="G1300" s="41"/>
      <c r="H1300" s="163"/>
      <c r="I1300" s="66"/>
      <c r="J1300" s="524"/>
      <c r="K1300" s="525"/>
      <c r="L1300" s="526"/>
      <c r="M1300" s="526"/>
      <c r="N1300" s="526"/>
      <c r="O1300" s="526"/>
      <c r="P1300" s="526"/>
      <c r="Q1300" s="526"/>
      <c r="R1300" s="526"/>
      <c r="S1300" s="526"/>
      <c r="T1300" s="526"/>
      <c r="U1300" s="526"/>
      <c r="V1300" s="526"/>
      <c r="W1300" s="526"/>
      <c r="X1300" s="526"/>
      <c r="Y1300" s="526"/>
      <c r="Z1300" s="526"/>
      <c r="AA1300" s="526"/>
      <c r="AB1300" s="526"/>
      <c r="AC1300" s="526"/>
      <c r="AD1300" s="526"/>
      <c r="AE1300" s="526"/>
      <c r="AF1300" s="526"/>
      <c r="AG1300" s="526"/>
      <c r="AH1300" s="526"/>
      <c r="AI1300" s="526"/>
      <c r="AJ1300" s="779"/>
    </row>
    <row r="1301" spans="1:36" ht="14">
      <c r="A1301" s="40"/>
      <c r="B1301" s="40"/>
      <c r="C1301" s="124">
        <v>1</v>
      </c>
      <c r="D1301" s="124"/>
      <c r="E1301" s="124"/>
      <c r="F1301" s="41"/>
      <c r="G1301" s="41"/>
      <c r="H1301" s="125" t="s">
        <v>35</v>
      </c>
      <c r="I1301" s="66"/>
      <c r="J1301" s="524"/>
      <c r="K1301" s="525"/>
      <c r="L1301" s="526"/>
      <c r="M1301" s="526"/>
      <c r="N1301" s="526"/>
      <c r="O1301" s="526"/>
      <c r="P1301" s="526"/>
      <c r="Q1301" s="526"/>
      <c r="R1301" s="526"/>
      <c r="S1301" s="526"/>
      <c r="T1301" s="526"/>
      <c r="U1301" s="526"/>
      <c r="V1301" s="526"/>
      <c r="W1301" s="526"/>
      <c r="X1301" s="526"/>
      <c r="Y1301" s="526"/>
      <c r="Z1301" s="526"/>
      <c r="AA1301" s="526"/>
      <c r="AB1301" s="526"/>
      <c r="AC1301" s="526"/>
      <c r="AD1301" s="526"/>
      <c r="AE1301" s="526"/>
      <c r="AF1301" s="526"/>
      <c r="AG1301" s="526"/>
      <c r="AH1301" s="526"/>
      <c r="AI1301" s="526"/>
      <c r="AJ1301" s="779"/>
    </row>
    <row r="1302" spans="1:36" ht="14">
      <c r="A1302" s="40"/>
      <c r="B1302" s="40"/>
      <c r="C1302" s="124"/>
      <c r="D1302" s="124">
        <v>3</v>
      </c>
      <c r="E1302" s="124" t="s">
        <v>199</v>
      </c>
      <c r="F1302" s="41"/>
      <c r="G1302" s="41"/>
      <c r="H1302" s="163"/>
      <c r="I1302" s="125" t="s">
        <v>116</v>
      </c>
      <c r="J1302" s="524">
        <v>5080000</v>
      </c>
      <c r="K1302" s="525"/>
      <c r="L1302" s="526">
        <f>SUM(J1302:K1302)</f>
        <v>5080000</v>
      </c>
      <c r="M1302" s="526">
        <v>1241230</v>
      </c>
      <c r="N1302" s="526"/>
      <c r="O1302" s="526"/>
      <c r="P1302" s="526"/>
      <c r="Q1302" s="526"/>
      <c r="R1302" s="526"/>
      <c r="S1302" s="217">
        <f t="shared" ref="S1302" si="1480">SUM(M1302:R1302)</f>
        <v>1241230</v>
      </c>
      <c r="T1302" s="217">
        <f t="shared" ref="T1302" si="1481">S1302+L1302</f>
        <v>6321230</v>
      </c>
      <c r="U1302" s="526"/>
      <c r="V1302" s="526"/>
      <c r="W1302" s="526"/>
      <c r="X1302" s="526"/>
      <c r="Y1302" s="526"/>
      <c r="Z1302" s="217">
        <f>SUM(U1302:Y1302)</f>
        <v>0</v>
      </c>
      <c r="AA1302" s="217">
        <f>Z1302+T1302</f>
        <v>6321230</v>
      </c>
      <c r="AB1302" s="526"/>
      <c r="AC1302" s="526"/>
      <c r="AD1302" s="526"/>
      <c r="AE1302" s="526"/>
      <c r="AF1302" s="526"/>
      <c r="AG1302" s="217">
        <f t="shared" ref="AG1302" si="1482">SUM(AB1302:AF1302)</f>
        <v>0</v>
      </c>
      <c r="AH1302" s="217">
        <f t="shared" ref="AH1302" si="1483">AG1302+AA1302</f>
        <v>6321230</v>
      </c>
      <c r="AI1302" s="217">
        <v>4616650</v>
      </c>
      <c r="AJ1302" s="764">
        <f>AI1302/AH1302*100</f>
        <v>73.034045589228683</v>
      </c>
    </row>
    <row r="1303" spans="1:36" ht="7" customHeight="1">
      <c r="A1303" s="40"/>
      <c r="B1303" s="40"/>
      <c r="C1303" s="124"/>
      <c r="D1303" s="124"/>
      <c r="E1303" s="124"/>
      <c r="F1303" s="41"/>
      <c r="G1303" s="41"/>
      <c r="H1303" s="163"/>
      <c r="I1303" s="125"/>
      <c r="J1303" s="524"/>
      <c r="K1303" s="525"/>
      <c r="L1303" s="526"/>
      <c r="M1303" s="526"/>
      <c r="N1303" s="526"/>
      <c r="O1303" s="526"/>
      <c r="P1303" s="526"/>
      <c r="Q1303" s="526"/>
      <c r="R1303" s="526"/>
      <c r="S1303" s="526"/>
      <c r="T1303" s="526"/>
      <c r="U1303" s="526"/>
      <c r="V1303" s="526"/>
      <c r="W1303" s="526"/>
      <c r="X1303" s="526"/>
      <c r="Y1303" s="526"/>
      <c r="Z1303" s="526"/>
      <c r="AA1303" s="526"/>
      <c r="AB1303" s="526"/>
      <c r="AC1303" s="526"/>
      <c r="AD1303" s="526"/>
      <c r="AE1303" s="526"/>
      <c r="AF1303" s="526"/>
      <c r="AG1303" s="526"/>
      <c r="AH1303" s="526"/>
      <c r="AI1303" s="526"/>
      <c r="AJ1303" s="779"/>
    </row>
    <row r="1304" spans="1:36" ht="14">
      <c r="A1304" s="40"/>
      <c r="B1304" s="40"/>
      <c r="C1304" s="124"/>
      <c r="D1304" s="124"/>
      <c r="E1304" s="124"/>
      <c r="F1304" s="166"/>
      <c r="G1304" s="166"/>
      <c r="H1304" s="527"/>
      <c r="I1304" s="166" t="s">
        <v>37</v>
      </c>
      <c r="J1304" s="528">
        <f>SUM(J1302:J1303)</f>
        <v>5080000</v>
      </c>
      <c r="K1304" s="529"/>
      <c r="L1304" s="530">
        <f>SUM(L1302:L1303)</f>
        <v>5080000</v>
      </c>
      <c r="M1304" s="530">
        <f t="shared" ref="M1304:T1304" si="1484">SUM(M1302:M1303)</f>
        <v>1241230</v>
      </c>
      <c r="N1304" s="530">
        <f t="shared" si="1484"/>
        <v>0</v>
      </c>
      <c r="O1304" s="530">
        <f t="shared" si="1484"/>
        <v>0</v>
      </c>
      <c r="P1304" s="530">
        <f t="shared" si="1484"/>
        <v>0</v>
      </c>
      <c r="Q1304" s="530">
        <f t="shared" si="1484"/>
        <v>0</v>
      </c>
      <c r="R1304" s="530">
        <f t="shared" si="1484"/>
        <v>0</v>
      </c>
      <c r="S1304" s="530">
        <f t="shared" si="1484"/>
        <v>1241230</v>
      </c>
      <c r="T1304" s="530">
        <f t="shared" si="1484"/>
        <v>6321230</v>
      </c>
      <c r="U1304" s="530"/>
      <c r="V1304" s="530"/>
      <c r="W1304" s="530"/>
      <c r="X1304" s="530"/>
      <c r="Y1304" s="530"/>
      <c r="Z1304" s="530">
        <f t="shared" ref="Z1304:AA1304" si="1485">SUM(Z1302:Z1303)</f>
        <v>0</v>
      </c>
      <c r="AA1304" s="530">
        <f t="shared" si="1485"/>
        <v>6321230</v>
      </c>
      <c r="AB1304" s="530"/>
      <c r="AC1304" s="530"/>
      <c r="AD1304" s="530"/>
      <c r="AE1304" s="530"/>
      <c r="AF1304" s="530"/>
      <c r="AG1304" s="530">
        <f t="shared" ref="AG1304:AI1304" si="1486">SUM(AG1302:AG1303)</f>
        <v>0</v>
      </c>
      <c r="AH1304" s="530">
        <f t="shared" si="1486"/>
        <v>6321230</v>
      </c>
      <c r="AI1304" s="530">
        <f t="shared" si="1486"/>
        <v>4616650</v>
      </c>
      <c r="AJ1304" s="776">
        <f>AI1304/AH1304*100</f>
        <v>73.034045589228683</v>
      </c>
    </row>
    <row r="1305" spans="1:36" ht="12.5" customHeight="1">
      <c r="A1305" s="40"/>
      <c r="B1305" s="40"/>
      <c r="C1305" s="124"/>
      <c r="D1305" s="124"/>
      <c r="E1305" s="124"/>
      <c r="F1305" s="41"/>
      <c r="G1305" s="41"/>
      <c r="H1305" s="163"/>
      <c r="I1305" s="125"/>
      <c r="J1305" s="524"/>
      <c r="K1305" s="525"/>
      <c r="L1305" s="526"/>
      <c r="M1305" s="526"/>
      <c r="N1305" s="526"/>
      <c r="O1305" s="526"/>
      <c r="P1305" s="526"/>
      <c r="Q1305" s="526"/>
      <c r="R1305" s="526"/>
      <c r="S1305" s="526"/>
      <c r="T1305" s="526"/>
      <c r="U1305" s="526"/>
      <c r="V1305" s="526"/>
      <c r="W1305" s="526"/>
      <c r="X1305" s="526"/>
      <c r="Y1305" s="526"/>
      <c r="Z1305" s="526"/>
      <c r="AA1305" s="526"/>
      <c r="AB1305" s="526"/>
      <c r="AC1305" s="526"/>
      <c r="AD1305" s="526"/>
      <c r="AE1305" s="526"/>
      <c r="AF1305" s="526"/>
      <c r="AG1305" s="526"/>
      <c r="AH1305" s="526"/>
      <c r="AI1305" s="526"/>
      <c r="AJ1305" s="779"/>
    </row>
    <row r="1306" spans="1:36" ht="12.5" customHeight="1">
      <c r="A1306" s="40">
        <v>125</v>
      </c>
      <c r="B1306" s="40"/>
      <c r="C1306" s="124"/>
      <c r="D1306" s="124"/>
      <c r="E1306" s="124"/>
      <c r="F1306" s="942" t="s">
        <v>82</v>
      </c>
      <c r="G1306" s="935"/>
      <c r="H1306" s="935"/>
      <c r="I1306" s="936"/>
      <c r="J1306" s="524"/>
      <c r="K1306" s="525"/>
      <c r="L1306" s="526"/>
      <c r="M1306" s="526"/>
      <c r="N1306" s="526"/>
      <c r="O1306" s="526"/>
      <c r="P1306" s="526"/>
      <c r="Q1306" s="526"/>
      <c r="R1306" s="526"/>
      <c r="S1306" s="526"/>
      <c r="T1306" s="526"/>
      <c r="U1306" s="526"/>
      <c r="V1306" s="526"/>
      <c r="W1306" s="526"/>
      <c r="X1306" s="526"/>
      <c r="Y1306" s="526"/>
      <c r="Z1306" s="526"/>
      <c r="AA1306" s="526"/>
      <c r="AB1306" s="526"/>
      <c r="AC1306" s="526"/>
      <c r="AD1306" s="526"/>
      <c r="AE1306" s="526"/>
      <c r="AF1306" s="526"/>
      <c r="AG1306" s="526"/>
      <c r="AH1306" s="526"/>
      <c r="AI1306" s="526"/>
      <c r="AJ1306" s="779"/>
    </row>
    <row r="1307" spans="1:36" ht="12.5" customHeight="1">
      <c r="A1307" s="40"/>
      <c r="B1307" s="40"/>
      <c r="C1307" s="124">
        <v>1</v>
      </c>
      <c r="D1307" s="124"/>
      <c r="E1307" s="124"/>
      <c r="F1307" s="41"/>
      <c r="G1307" s="41"/>
      <c r="H1307" s="125" t="s">
        <v>35</v>
      </c>
      <c r="I1307" s="66"/>
      <c r="J1307" s="524"/>
      <c r="K1307" s="525"/>
      <c r="L1307" s="526"/>
      <c r="M1307" s="526"/>
      <c r="N1307" s="526"/>
      <c r="O1307" s="526"/>
      <c r="P1307" s="526"/>
      <c r="Q1307" s="526"/>
      <c r="R1307" s="526"/>
      <c r="S1307" s="526"/>
      <c r="T1307" s="526"/>
      <c r="U1307" s="526"/>
      <c r="V1307" s="526"/>
      <c r="W1307" s="526"/>
      <c r="X1307" s="526"/>
      <c r="Y1307" s="526"/>
      <c r="Z1307" s="526"/>
      <c r="AA1307" s="526"/>
      <c r="AB1307" s="526"/>
      <c r="AC1307" s="526"/>
      <c r="AD1307" s="526"/>
      <c r="AE1307" s="526"/>
      <c r="AF1307" s="526"/>
      <c r="AG1307" s="526"/>
      <c r="AH1307" s="526"/>
      <c r="AI1307" s="526"/>
      <c r="AJ1307" s="779"/>
    </row>
    <row r="1308" spans="1:36" ht="12.5" customHeight="1">
      <c r="A1308" s="40"/>
      <c r="B1308" s="40"/>
      <c r="C1308" s="124"/>
      <c r="D1308" s="124">
        <v>3</v>
      </c>
      <c r="E1308" s="124" t="s">
        <v>199</v>
      </c>
      <c r="F1308" s="41"/>
      <c r="G1308" s="41"/>
      <c r="H1308" s="163"/>
      <c r="I1308" s="125" t="s">
        <v>116</v>
      </c>
      <c r="J1308" s="524">
        <v>5000000</v>
      </c>
      <c r="K1308" s="525"/>
      <c r="L1308" s="526">
        <f>SUM(J1308:K1308)</f>
        <v>5000000</v>
      </c>
      <c r="M1308" s="526">
        <v>1646309</v>
      </c>
      <c r="N1308" s="526"/>
      <c r="O1308" s="526"/>
      <c r="P1308" s="526"/>
      <c r="Q1308" s="526"/>
      <c r="R1308" s="526"/>
      <c r="S1308" s="217">
        <f t="shared" ref="S1308" si="1487">SUM(M1308:R1308)</f>
        <v>1646309</v>
      </c>
      <c r="T1308" s="217">
        <f t="shared" ref="T1308" si="1488">S1308+L1308</f>
        <v>6646309</v>
      </c>
      <c r="U1308" s="526"/>
      <c r="V1308" s="526"/>
      <c r="W1308" s="526"/>
      <c r="X1308" s="526"/>
      <c r="Y1308" s="526"/>
      <c r="Z1308" s="217">
        <f>SUM(U1308:Y1308)</f>
        <v>0</v>
      </c>
      <c r="AA1308" s="217">
        <f>Z1308+T1308</f>
        <v>6646309</v>
      </c>
      <c r="AB1308" s="526"/>
      <c r="AC1308" s="526"/>
      <c r="AD1308" s="526"/>
      <c r="AE1308" s="526"/>
      <c r="AF1308" s="526"/>
      <c r="AG1308" s="217">
        <f t="shared" ref="AG1308" si="1489">SUM(AB1308:AF1308)</f>
        <v>0</v>
      </c>
      <c r="AH1308" s="217">
        <f t="shared" ref="AH1308" si="1490">AG1308+AA1308</f>
        <v>6646309</v>
      </c>
      <c r="AI1308" s="217">
        <v>4325170</v>
      </c>
      <c r="AJ1308" s="764">
        <f>AI1308/AH1308*100</f>
        <v>65.07627015235073</v>
      </c>
    </row>
    <row r="1309" spans="1:36" ht="9" customHeight="1">
      <c r="A1309" s="40"/>
      <c r="B1309" s="40"/>
      <c r="C1309" s="124"/>
      <c r="D1309" s="124"/>
      <c r="E1309" s="124"/>
      <c r="F1309" s="41"/>
      <c r="G1309" s="41"/>
      <c r="H1309" s="163"/>
      <c r="I1309" s="66"/>
      <c r="J1309" s="524"/>
      <c r="K1309" s="525"/>
      <c r="L1309" s="526"/>
      <c r="M1309" s="526"/>
      <c r="N1309" s="526"/>
      <c r="O1309" s="526"/>
      <c r="P1309" s="526"/>
      <c r="Q1309" s="526"/>
      <c r="R1309" s="526"/>
      <c r="S1309" s="526"/>
      <c r="T1309" s="526"/>
      <c r="U1309" s="526"/>
      <c r="V1309" s="526"/>
      <c r="W1309" s="526"/>
      <c r="X1309" s="526"/>
      <c r="Y1309" s="526"/>
      <c r="Z1309" s="526"/>
      <c r="AA1309" s="526"/>
      <c r="AB1309" s="526"/>
      <c r="AC1309" s="526"/>
      <c r="AD1309" s="526"/>
      <c r="AE1309" s="526"/>
      <c r="AF1309" s="526"/>
      <c r="AG1309" s="526"/>
      <c r="AH1309" s="526"/>
      <c r="AI1309" s="526"/>
      <c r="AJ1309" s="779"/>
    </row>
    <row r="1310" spans="1:36" ht="14">
      <c r="A1310" s="40"/>
      <c r="B1310" s="40"/>
      <c r="C1310" s="124"/>
      <c r="D1310" s="124"/>
      <c r="E1310" s="124"/>
      <c r="F1310" s="166"/>
      <c r="G1310" s="166"/>
      <c r="H1310" s="527"/>
      <c r="I1310" s="166" t="s">
        <v>37</v>
      </c>
      <c r="J1310" s="534">
        <f>SUM(J1307:J1309)</f>
        <v>5000000</v>
      </c>
      <c r="K1310" s="535"/>
      <c r="L1310" s="534">
        <f>SUM(L1307:L1309)</f>
        <v>5000000</v>
      </c>
      <c r="M1310" s="534">
        <f t="shared" ref="M1310:T1310" si="1491">SUM(M1307:M1309)</f>
        <v>1646309</v>
      </c>
      <c r="N1310" s="534">
        <f t="shared" si="1491"/>
        <v>0</v>
      </c>
      <c r="O1310" s="534">
        <f t="shared" si="1491"/>
        <v>0</v>
      </c>
      <c r="P1310" s="534">
        <f t="shared" si="1491"/>
        <v>0</v>
      </c>
      <c r="Q1310" s="534">
        <f t="shared" si="1491"/>
        <v>0</v>
      </c>
      <c r="R1310" s="534">
        <f t="shared" si="1491"/>
        <v>0</v>
      </c>
      <c r="S1310" s="534">
        <f t="shared" si="1491"/>
        <v>1646309</v>
      </c>
      <c r="T1310" s="534">
        <f t="shared" si="1491"/>
        <v>6646309</v>
      </c>
      <c r="U1310" s="534"/>
      <c r="V1310" s="534"/>
      <c r="W1310" s="534"/>
      <c r="X1310" s="534"/>
      <c r="Y1310" s="534"/>
      <c r="Z1310" s="534">
        <f t="shared" ref="Z1310:AA1310" si="1492">SUM(Z1307:Z1309)</f>
        <v>0</v>
      </c>
      <c r="AA1310" s="534">
        <f t="shared" si="1492"/>
        <v>6646309</v>
      </c>
      <c r="AB1310" s="534"/>
      <c r="AC1310" s="534"/>
      <c r="AD1310" s="534"/>
      <c r="AE1310" s="534"/>
      <c r="AF1310" s="534"/>
      <c r="AG1310" s="534">
        <f t="shared" ref="AG1310:AI1310" si="1493">SUM(AG1307:AG1309)</f>
        <v>0</v>
      </c>
      <c r="AH1310" s="534">
        <f t="shared" si="1493"/>
        <v>6646309</v>
      </c>
      <c r="AI1310" s="534">
        <f t="shared" si="1493"/>
        <v>4325170</v>
      </c>
      <c r="AJ1310" s="776">
        <f>AI1310/AH1310*100</f>
        <v>65.07627015235073</v>
      </c>
    </row>
    <row r="1311" spans="1:36" ht="14">
      <c r="A1311" s="40"/>
      <c r="B1311" s="40"/>
      <c r="C1311" s="124"/>
      <c r="D1311" s="124"/>
      <c r="E1311" s="124"/>
      <c r="F1311" s="41"/>
      <c r="G1311" s="41"/>
      <c r="H1311" s="63"/>
      <c r="I1311" s="41"/>
      <c r="J1311" s="680"/>
      <c r="K1311" s="679"/>
      <c r="L1311" s="678"/>
      <c r="M1311" s="678"/>
      <c r="N1311" s="678"/>
      <c r="O1311" s="678"/>
      <c r="P1311" s="678"/>
      <c r="Q1311" s="678"/>
      <c r="R1311" s="678"/>
      <c r="S1311" s="678"/>
      <c r="T1311" s="678"/>
      <c r="U1311" s="678"/>
      <c r="V1311" s="678"/>
      <c r="W1311" s="678"/>
      <c r="X1311" s="678"/>
      <c r="Y1311" s="678"/>
      <c r="Z1311" s="678"/>
      <c r="AA1311" s="678"/>
      <c r="AB1311" s="702"/>
      <c r="AC1311" s="702"/>
      <c r="AD1311" s="702"/>
      <c r="AE1311" s="702"/>
      <c r="AF1311" s="702"/>
      <c r="AG1311" s="702"/>
      <c r="AH1311" s="702"/>
      <c r="AI1311" s="702"/>
      <c r="AJ1311" s="780"/>
    </row>
    <row r="1312" spans="1:36" ht="14">
      <c r="A1312" s="40">
        <v>126</v>
      </c>
      <c r="B1312" s="40"/>
      <c r="C1312" s="124"/>
      <c r="D1312" s="124"/>
      <c r="E1312" s="124"/>
      <c r="F1312" s="942" t="s">
        <v>455</v>
      </c>
      <c r="G1312" s="935"/>
      <c r="H1312" s="935"/>
      <c r="I1312" s="936"/>
      <c r="J1312" s="680"/>
      <c r="K1312" s="679"/>
      <c r="L1312" s="678"/>
      <c r="M1312" s="678"/>
      <c r="N1312" s="678"/>
      <c r="O1312" s="678"/>
      <c r="P1312" s="678"/>
      <c r="Q1312" s="678"/>
      <c r="R1312" s="678"/>
      <c r="S1312" s="678"/>
      <c r="T1312" s="678"/>
      <c r="U1312" s="678"/>
      <c r="V1312" s="678"/>
      <c r="W1312" s="678"/>
      <c r="X1312" s="678"/>
      <c r="Y1312" s="678"/>
      <c r="Z1312" s="678"/>
      <c r="AA1312" s="678"/>
      <c r="AB1312" s="702"/>
      <c r="AC1312" s="702"/>
      <c r="AD1312" s="702"/>
      <c r="AE1312" s="702"/>
      <c r="AF1312" s="702"/>
      <c r="AG1312" s="702"/>
      <c r="AH1312" s="702"/>
      <c r="AI1312" s="702"/>
      <c r="AJ1312" s="780"/>
    </row>
    <row r="1313" spans="1:36" ht="14">
      <c r="A1313" s="40"/>
      <c r="B1313" s="40"/>
      <c r="C1313" s="124">
        <v>1</v>
      </c>
      <c r="D1313" s="124"/>
      <c r="E1313" s="124"/>
      <c r="F1313" s="41"/>
      <c r="G1313" s="41"/>
      <c r="H1313" s="125" t="s">
        <v>35</v>
      </c>
      <c r="I1313" s="66"/>
      <c r="J1313" s="524"/>
      <c r="K1313" s="525"/>
      <c r="L1313" s="454"/>
      <c r="M1313" s="454"/>
      <c r="N1313" s="454"/>
      <c r="O1313" s="454"/>
      <c r="P1313" s="454"/>
      <c r="Q1313" s="454"/>
      <c r="R1313" s="454"/>
      <c r="S1313" s="454"/>
      <c r="T1313" s="454"/>
      <c r="U1313" s="454"/>
      <c r="V1313" s="454"/>
      <c r="W1313" s="454"/>
      <c r="X1313" s="454"/>
      <c r="Y1313" s="454"/>
      <c r="Z1313" s="454"/>
      <c r="AA1313" s="454"/>
      <c r="AB1313" s="454"/>
      <c r="AC1313" s="454"/>
      <c r="AD1313" s="454"/>
      <c r="AE1313" s="454"/>
      <c r="AF1313" s="454"/>
      <c r="AG1313" s="454"/>
      <c r="AH1313" s="454"/>
      <c r="AI1313" s="454"/>
      <c r="AJ1313" s="769"/>
    </row>
    <row r="1314" spans="1:36" ht="14">
      <c r="A1314" s="40"/>
      <c r="B1314" s="40"/>
      <c r="C1314" s="124"/>
      <c r="D1314" s="124">
        <v>3</v>
      </c>
      <c r="E1314" s="124" t="s">
        <v>199</v>
      </c>
      <c r="F1314" s="41"/>
      <c r="G1314" s="41"/>
      <c r="H1314" s="163"/>
      <c r="I1314" s="125" t="s">
        <v>116</v>
      </c>
      <c r="J1314" s="524">
        <v>13200000</v>
      </c>
      <c r="K1314" s="525"/>
      <c r="L1314" s="454">
        <f>SUM(J1314:K1314)</f>
        <v>13200000</v>
      </c>
      <c r="M1314" s="454"/>
      <c r="N1314" s="454"/>
      <c r="O1314" s="454"/>
      <c r="P1314" s="454"/>
      <c r="Q1314" s="454"/>
      <c r="R1314" s="454"/>
      <c r="S1314" s="217">
        <f t="shared" ref="S1314" si="1494">SUM(M1314:R1314)</f>
        <v>0</v>
      </c>
      <c r="T1314" s="217">
        <f t="shared" ref="T1314" si="1495">S1314+L1314</f>
        <v>13200000</v>
      </c>
      <c r="U1314" s="454"/>
      <c r="V1314" s="454"/>
      <c r="W1314" s="454"/>
      <c r="X1314" s="454"/>
      <c r="Y1314" s="454"/>
      <c r="Z1314" s="217">
        <f>SUM(U1314:Y1314)</f>
        <v>0</v>
      </c>
      <c r="AA1314" s="217">
        <f>Z1314+T1314</f>
        <v>13200000</v>
      </c>
      <c r="AB1314" s="454"/>
      <c r="AC1314" s="454"/>
      <c r="AD1314" s="454"/>
      <c r="AE1314" s="454"/>
      <c r="AF1314" s="454"/>
      <c r="AG1314" s="217">
        <f t="shared" ref="AG1314" si="1496">SUM(AB1314:AF1314)</f>
        <v>0</v>
      </c>
      <c r="AH1314" s="217">
        <f t="shared" ref="AH1314" si="1497">AG1314+AA1314</f>
        <v>13200000</v>
      </c>
      <c r="AI1314" s="217">
        <v>11759967</v>
      </c>
      <c r="AJ1314" s="764">
        <f>AI1314/AH1314*100</f>
        <v>89.090659090909085</v>
      </c>
    </row>
    <row r="1315" spans="1:36" ht="14">
      <c r="A1315" s="40"/>
      <c r="B1315" s="40"/>
      <c r="C1315" s="124"/>
      <c r="D1315" s="124"/>
      <c r="E1315" s="124"/>
      <c r="F1315" s="41"/>
      <c r="G1315" s="41"/>
      <c r="H1315" s="63"/>
      <c r="I1315" s="41"/>
      <c r="J1315" s="524"/>
      <c r="K1315" s="525"/>
      <c r="L1315" s="526"/>
      <c r="M1315" s="526"/>
      <c r="N1315" s="526"/>
      <c r="O1315" s="526"/>
      <c r="P1315" s="526"/>
      <c r="Q1315" s="526"/>
      <c r="R1315" s="526"/>
      <c r="S1315" s="526"/>
      <c r="T1315" s="526"/>
      <c r="U1315" s="526"/>
      <c r="V1315" s="526"/>
      <c r="W1315" s="526"/>
      <c r="X1315" s="526"/>
      <c r="Y1315" s="526"/>
      <c r="Z1315" s="526"/>
      <c r="AA1315" s="526"/>
      <c r="AB1315" s="526"/>
      <c r="AC1315" s="526"/>
      <c r="AD1315" s="526"/>
      <c r="AE1315" s="526"/>
      <c r="AF1315" s="526"/>
      <c r="AG1315" s="526"/>
      <c r="AH1315" s="526"/>
      <c r="AI1315" s="526"/>
      <c r="AJ1315" s="779"/>
    </row>
    <row r="1316" spans="1:36" ht="14">
      <c r="A1316" s="40"/>
      <c r="B1316" s="40"/>
      <c r="C1316" s="124"/>
      <c r="D1316" s="124"/>
      <c r="E1316" s="124"/>
      <c r="F1316" s="42"/>
      <c r="G1316" s="42"/>
      <c r="H1316" s="165"/>
      <c r="I1316" s="166" t="s">
        <v>37</v>
      </c>
      <c r="J1316" s="528">
        <f>SUM(J1313:J1315)</f>
        <v>13200000</v>
      </c>
      <c r="K1316" s="529">
        <f>SUM(K1313:K1315)</f>
        <v>0</v>
      </c>
      <c r="L1316" s="530">
        <f>SUM(L1313:L1315)</f>
        <v>13200000</v>
      </c>
      <c r="M1316" s="530">
        <f t="shared" ref="M1316:T1316" si="1498">SUM(M1313:M1315)</f>
        <v>0</v>
      </c>
      <c r="N1316" s="530">
        <f t="shared" si="1498"/>
        <v>0</v>
      </c>
      <c r="O1316" s="530">
        <f t="shared" si="1498"/>
        <v>0</v>
      </c>
      <c r="P1316" s="530">
        <f t="shared" si="1498"/>
        <v>0</v>
      </c>
      <c r="Q1316" s="530">
        <f t="shared" si="1498"/>
        <v>0</v>
      </c>
      <c r="R1316" s="530">
        <f t="shared" si="1498"/>
        <v>0</v>
      </c>
      <c r="S1316" s="530">
        <f t="shared" si="1498"/>
        <v>0</v>
      </c>
      <c r="T1316" s="530">
        <f t="shared" si="1498"/>
        <v>13200000</v>
      </c>
      <c r="U1316" s="530"/>
      <c r="V1316" s="530"/>
      <c r="W1316" s="530"/>
      <c r="X1316" s="530"/>
      <c r="Y1316" s="530"/>
      <c r="Z1316" s="530">
        <f t="shared" ref="Z1316:AA1316" si="1499">SUM(Z1313:Z1315)</f>
        <v>0</v>
      </c>
      <c r="AA1316" s="530">
        <f t="shared" si="1499"/>
        <v>13200000</v>
      </c>
      <c r="AB1316" s="530"/>
      <c r="AC1316" s="530"/>
      <c r="AD1316" s="530"/>
      <c r="AE1316" s="530"/>
      <c r="AF1316" s="530"/>
      <c r="AG1316" s="530">
        <f t="shared" ref="AG1316:AI1316" si="1500">SUM(AG1313:AG1315)</f>
        <v>0</v>
      </c>
      <c r="AH1316" s="530">
        <f t="shared" si="1500"/>
        <v>13200000</v>
      </c>
      <c r="AI1316" s="530">
        <f t="shared" si="1500"/>
        <v>11759967</v>
      </c>
      <c r="AJ1316" s="776">
        <f>AI1316/AH1316*100</f>
        <v>89.090659090909085</v>
      </c>
    </row>
    <row r="1317" spans="1:36" ht="14">
      <c r="A1317" s="40"/>
      <c r="B1317" s="40"/>
      <c r="C1317" s="124"/>
      <c r="D1317" s="124"/>
      <c r="E1317" s="124"/>
      <c r="F1317" s="41"/>
      <c r="G1317" s="41"/>
      <c r="H1317" s="63"/>
      <c r="I1317" s="41"/>
      <c r="J1317" s="536"/>
      <c r="K1317" s="679"/>
      <c r="L1317" s="678"/>
      <c r="M1317" s="678"/>
      <c r="N1317" s="678"/>
      <c r="O1317" s="678"/>
      <c r="P1317" s="678"/>
      <c r="Q1317" s="678"/>
      <c r="R1317" s="678"/>
      <c r="S1317" s="678"/>
      <c r="T1317" s="678"/>
      <c r="U1317" s="678"/>
      <c r="V1317" s="678"/>
      <c r="W1317" s="678"/>
      <c r="X1317" s="678"/>
      <c r="Y1317" s="678"/>
      <c r="Z1317" s="678"/>
      <c r="AA1317" s="678"/>
      <c r="AB1317" s="702"/>
      <c r="AC1317" s="702"/>
      <c r="AD1317" s="702"/>
      <c r="AE1317" s="702"/>
      <c r="AF1317" s="702"/>
      <c r="AG1317" s="702"/>
      <c r="AH1317" s="702"/>
      <c r="AI1317" s="702"/>
      <c r="AJ1317" s="780"/>
    </row>
    <row r="1318" spans="1:36" ht="14">
      <c r="A1318" s="40">
        <v>127</v>
      </c>
      <c r="B1318" s="40"/>
      <c r="C1318" s="124"/>
      <c r="D1318" s="124"/>
      <c r="E1318" s="124"/>
      <c r="F1318" s="41" t="s">
        <v>86</v>
      </c>
      <c r="G1318" s="41"/>
      <c r="H1318" s="63"/>
      <c r="I1318" s="41"/>
      <c r="J1318" s="680"/>
      <c r="K1318" s="679"/>
      <c r="L1318" s="678"/>
      <c r="M1318" s="678"/>
      <c r="N1318" s="678"/>
      <c r="O1318" s="678"/>
      <c r="P1318" s="678"/>
      <c r="Q1318" s="678"/>
      <c r="R1318" s="678"/>
      <c r="S1318" s="678"/>
      <c r="T1318" s="678"/>
      <c r="U1318" s="678"/>
      <c r="V1318" s="678"/>
      <c r="W1318" s="678"/>
      <c r="X1318" s="678"/>
      <c r="Y1318" s="678"/>
      <c r="Z1318" s="678"/>
      <c r="AA1318" s="678"/>
      <c r="AB1318" s="702"/>
      <c r="AC1318" s="702"/>
      <c r="AD1318" s="702"/>
      <c r="AE1318" s="702"/>
      <c r="AF1318" s="702"/>
      <c r="AG1318" s="702"/>
      <c r="AH1318" s="702"/>
      <c r="AI1318" s="702"/>
      <c r="AJ1318" s="780"/>
    </row>
    <row r="1319" spans="1:36" ht="14">
      <c r="A1319" s="40"/>
      <c r="B1319" s="40"/>
      <c r="C1319" s="124">
        <v>1</v>
      </c>
      <c r="D1319" s="124"/>
      <c r="E1319" s="124"/>
      <c r="F1319" s="41"/>
      <c r="G1319" s="41"/>
      <c r="H1319" s="125" t="s">
        <v>35</v>
      </c>
      <c r="I1319" s="66"/>
      <c r="J1319" s="680"/>
      <c r="K1319" s="679"/>
      <c r="L1319" s="678"/>
      <c r="M1319" s="678"/>
      <c r="N1319" s="678"/>
      <c r="O1319" s="678"/>
      <c r="P1319" s="678"/>
      <c r="Q1319" s="678"/>
      <c r="R1319" s="678"/>
      <c r="S1319" s="678"/>
      <c r="T1319" s="678"/>
      <c r="U1319" s="678"/>
      <c r="V1319" s="678"/>
      <c r="W1319" s="678"/>
      <c r="X1319" s="678"/>
      <c r="Y1319" s="678"/>
      <c r="Z1319" s="678"/>
      <c r="AA1319" s="678"/>
      <c r="AB1319" s="702"/>
      <c r="AC1319" s="702"/>
      <c r="AD1319" s="702"/>
      <c r="AE1319" s="702"/>
      <c r="AF1319" s="702"/>
      <c r="AG1319" s="702"/>
      <c r="AH1319" s="702"/>
      <c r="AI1319" s="702"/>
      <c r="AJ1319" s="780"/>
    </row>
    <row r="1320" spans="1:36" ht="14">
      <c r="A1320" s="40"/>
      <c r="B1320" s="40"/>
      <c r="C1320" s="124"/>
      <c r="D1320" s="124">
        <v>1</v>
      </c>
      <c r="E1320" s="124" t="s">
        <v>199</v>
      </c>
      <c r="F1320" s="41"/>
      <c r="G1320" s="41"/>
      <c r="H1320" s="125"/>
      <c r="I1320" s="66" t="s">
        <v>180</v>
      </c>
      <c r="J1320" s="524">
        <v>2000000</v>
      </c>
      <c r="K1320" s="679"/>
      <c r="L1320" s="526">
        <f t="shared" ref="L1320:L1325" si="1501">SUM(J1320:K1320)</f>
        <v>2000000</v>
      </c>
      <c r="M1320" s="526">
        <v>2107000</v>
      </c>
      <c r="N1320" s="526"/>
      <c r="O1320" s="526"/>
      <c r="P1320" s="526"/>
      <c r="Q1320" s="526"/>
      <c r="R1320" s="526"/>
      <c r="S1320" s="217">
        <f t="shared" ref="S1320:S1325" si="1502">SUM(M1320:R1320)</f>
        <v>2107000</v>
      </c>
      <c r="T1320" s="217">
        <f t="shared" ref="T1320:T1325" si="1503">S1320+L1320</f>
        <v>4107000</v>
      </c>
      <c r="U1320" s="526"/>
      <c r="V1320" s="526"/>
      <c r="W1320" s="526"/>
      <c r="X1320" s="526"/>
      <c r="Y1320" s="526"/>
      <c r="Z1320" s="217">
        <f>SUM(U1320:Y1320)</f>
        <v>0</v>
      </c>
      <c r="AA1320" s="217">
        <f>Z1320+T1320</f>
        <v>4107000</v>
      </c>
      <c r="AB1320" s="526"/>
      <c r="AC1320" s="526"/>
      <c r="AD1320" s="526"/>
      <c r="AE1320" s="526"/>
      <c r="AF1320" s="526"/>
      <c r="AG1320" s="217">
        <f t="shared" ref="AG1320:AG1322" si="1504">SUM(AB1320:AF1320)</f>
        <v>0</v>
      </c>
      <c r="AH1320" s="217">
        <f t="shared" ref="AH1320:AH1322" si="1505">AG1320+AA1320</f>
        <v>4107000</v>
      </c>
      <c r="AI1320" s="217">
        <v>3107000</v>
      </c>
      <c r="AJ1320" s="764">
        <f t="shared" ref="AJ1320:AJ1322" si="1506">AI1320/AH1320*100</f>
        <v>75.651327002678357</v>
      </c>
    </row>
    <row r="1321" spans="1:36" ht="14">
      <c r="A1321" s="40"/>
      <c r="B1321" s="40"/>
      <c r="C1321" s="124"/>
      <c r="D1321" s="124">
        <v>2</v>
      </c>
      <c r="E1321" s="124" t="s">
        <v>199</v>
      </c>
      <c r="F1321" s="41"/>
      <c r="G1321" s="41"/>
      <c r="H1321" s="125"/>
      <c r="I1321" s="66" t="s">
        <v>182</v>
      </c>
      <c r="J1321" s="524">
        <v>351000</v>
      </c>
      <c r="K1321" s="679"/>
      <c r="L1321" s="526">
        <f t="shared" si="1501"/>
        <v>351000</v>
      </c>
      <c r="M1321" s="526">
        <v>369779</v>
      </c>
      <c r="N1321" s="526"/>
      <c r="O1321" s="526"/>
      <c r="P1321" s="526"/>
      <c r="Q1321" s="526"/>
      <c r="R1321" s="526"/>
      <c r="S1321" s="217">
        <f t="shared" si="1502"/>
        <v>369779</v>
      </c>
      <c r="T1321" s="217">
        <f t="shared" si="1503"/>
        <v>720779</v>
      </c>
      <c r="U1321" s="526"/>
      <c r="V1321" s="526"/>
      <c r="W1321" s="526"/>
      <c r="X1321" s="526"/>
      <c r="Y1321" s="526"/>
      <c r="Z1321" s="217">
        <f>SUM(U1321:Y1321)</f>
        <v>0</v>
      </c>
      <c r="AA1321" s="217">
        <f>Z1321+T1321</f>
        <v>720779</v>
      </c>
      <c r="AB1321" s="526"/>
      <c r="AC1321" s="526"/>
      <c r="AD1321" s="526"/>
      <c r="AE1321" s="526"/>
      <c r="AF1321" s="526"/>
      <c r="AG1321" s="217">
        <f t="shared" si="1504"/>
        <v>0</v>
      </c>
      <c r="AH1321" s="217">
        <f t="shared" si="1505"/>
        <v>720779</v>
      </c>
      <c r="AI1321" s="217">
        <v>545279</v>
      </c>
      <c r="AJ1321" s="764">
        <f t="shared" si="1506"/>
        <v>75.651343893204441</v>
      </c>
    </row>
    <row r="1322" spans="1:36" ht="14">
      <c r="A1322" s="40"/>
      <c r="B1322" s="40"/>
      <c r="C1322" s="124"/>
      <c r="D1322" s="124">
        <v>3</v>
      </c>
      <c r="E1322" s="124" t="s">
        <v>199</v>
      </c>
      <c r="F1322" s="41"/>
      <c r="G1322" s="41"/>
      <c r="H1322" s="163"/>
      <c r="I1322" s="125" t="s">
        <v>116</v>
      </c>
      <c r="J1322" s="524">
        <v>15124000</v>
      </c>
      <c r="K1322" s="525"/>
      <c r="L1322" s="526">
        <f t="shared" si="1501"/>
        <v>15124000</v>
      </c>
      <c r="M1322" s="526">
        <v>9301911</v>
      </c>
      <c r="N1322" s="526"/>
      <c r="O1322" s="526"/>
      <c r="P1322" s="526">
        <v>30000</v>
      </c>
      <c r="Q1322" s="526">
        <v>-810000</v>
      </c>
      <c r="R1322" s="526"/>
      <c r="S1322" s="217">
        <f t="shared" si="1502"/>
        <v>8521911</v>
      </c>
      <c r="T1322" s="217">
        <f t="shared" si="1503"/>
        <v>23645911</v>
      </c>
      <c r="U1322" s="526"/>
      <c r="V1322" s="526"/>
      <c r="W1322" s="526">
        <v>38960</v>
      </c>
      <c r="X1322" s="526"/>
      <c r="Y1322" s="526"/>
      <c r="Z1322" s="217">
        <f>SUM(U1322:Y1322)</f>
        <v>38960</v>
      </c>
      <c r="AA1322" s="217">
        <f>Z1322+T1322</f>
        <v>23684871</v>
      </c>
      <c r="AB1322" s="526"/>
      <c r="AC1322" s="526"/>
      <c r="AD1322" s="526"/>
      <c r="AE1322" s="526">
        <v>3000000</v>
      </c>
      <c r="AF1322" s="526"/>
      <c r="AG1322" s="217">
        <f t="shared" si="1504"/>
        <v>3000000</v>
      </c>
      <c r="AH1322" s="217">
        <f t="shared" si="1505"/>
        <v>26684871</v>
      </c>
      <c r="AI1322" s="217">
        <v>17921797</v>
      </c>
      <c r="AJ1322" s="764">
        <f t="shared" si="1506"/>
        <v>67.160890528569539</v>
      </c>
    </row>
    <row r="1323" spans="1:36" ht="14">
      <c r="A1323" s="40"/>
      <c r="B1323" s="40"/>
      <c r="C1323" s="124">
        <v>2</v>
      </c>
      <c r="D1323" s="124"/>
      <c r="E1323" s="124"/>
      <c r="F1323" s="451"/>
      <c r="G1323" s="41"/>
      <c r="H1323" s="162" t="s">
        <v>211</v>
      </c>
      <c r="I1323" s="66"/>
      <c r="J1323" s="524"/>
      <c r="K1323" s="525"/>
      <c r="L1323" s="526"/>
      <c r="M1323" s="526"/>
      <c r="N1323" s="526"/>
      <c r="O1323" s="526"/>
      <c r="P1323" s="526"/>
      <c r="Q1323" s="526"/>
      <c r="R1323" s="526"/>
      <c r="S1323" s="217"/>
      <c r="T1323" s="217"/>
      <c r="U1323" s="526"/>
      <c r="V1323" s="526"/>
      <c r="W1323" s="526"/>
      <c r="X1323" s="526"/>
      <c r="Y1323" s="526"/>
      <c r="Z1323" s="217"/>
      <c r="AA1323" s="217"/>
      <c r="AB1323" s="526"/>
      <c r="AC1323" s="526"/>
      <c r="AD1323" s="526"/>
      <c r="AE1323" s="526"/>
      <c r="AF1323" s="526"/>
      <c r="AG1323" s="217"/>
      <c r="AH1323" s="217"/>
      <c r="AI1323" s="217"/>
      <c r="AJ1323" s="764"/>
    </row>
    <row r="1324" spans="1:36" ht="14">
      <c r="A1324" s="40"/>
      <c r="B1324" s="40"/>
      <c r="C1324" s="124"/>
      <c r="D1324" s="124">
        <v>6</v>
      </c>
      <c r="E1324" s="124" t="s">
        <v>199</v>
      </c>
      <c r="F1324" s="41"/>
      <c r="G1324" s="41"/>
      <c r="H1324" s="163"/>
      <c r="I1324" s="125" t="s">
        <v>213</v>
      </c>
      <c r="J1324" s="524"/>
      <c r="K1324" s="525">
        <v>2000000</v>
      </c>
      <c r="L1324" s="526">
        <f t="shared" si="1501"/>
        <v>2000000</v>
      </c>
      <c r="M1324" s="526">
        <v>7919000</v>
      </c>
      <c r="N1324" s="526"/>
      <c r="O1324" s="526"/>
      <c r="P1324" s="526"/>
      <c r="Q1324" s="526"/>
      <c r="R1324" s="526"/>
      <c r="S1324" s="217">
        <f t="shared" si="1502"/>
        <v>7919000</v>
      </c>
      <c r="T1324" s="217">
        <f t="shared" si="1503"/>
        <v>9919000</v>
      </c>
      <c r="U1324" s="526"/>
      <c r="V1324" s="526"/>
      <c r="W1324" s="526"/>
      <c r="X1324" s="526"/>
      <c r="Y1324" s="526"/>
      <c r="Z1324" s="217">
        <f>SUM(U1324:Y1324)</f>
        <v>0</v>
      </c>
      <c r="AA1324" s="217">
        <f>Z1324+T1324</f>
        <v>9919000</v>
      </c>
      <c r="AB1324" s="526"/>
      <c r="AC1324" s="526"/>
      <c r="AD1324" s="526"/>
      <c r="AE1324" s="526">
        <v>-2000000</v>
      </c>
      <c r="AF1324" s="526"/>
      <c r="AG1324" s="217">
        <f t="shared" ref="AG1324:AG1325" si="1507">SUM(AB1324:AF1324)</f>
        <v>-2000000</v>
      </c>
      <c r="AH1324" s="217">
        <f t="shared" ref="AH1324:AH1325" si="1508">AG1324+AA1324</f>
        <v>7919000</v>
      </c>
      <c r="AI1324" s="217">
        <v>4799000</v>
      </c>
      <c r="AJ1324" s="764">
        <f t="shared" ref="AJ1324:AJ1325" si="1509">AI1324/AH1324*100</f>
        <v>60.601085995706526</v>
      </c>
    </row>
    <row r="1325" spans="1:36" ht="14">
      <c r="A1325" s="40"/>
      <c r="B1325" s="40"/>
      <c r="C1325" s="124"/>
      <c r="D1325" s="124">
        <v>8</v>
      </c>
      <c r="E1325" s="124" t="s">
        <v>199</v>
      </c>
      <c r="F1325" s="451"/>
      <c r="G1325" s="537"/>
      <c r="H1325" s="66"/>
      <c r="I1325" s="66" t="s">
        <v>212</v>
      </c>
      <c r="J1325" s="524"/>
      <c r="K1325" s="525">
        <v>525000</v>
      </c>
      <c r="L1325" s="526">
        <f t="shared" si="1501"/>
        <v>525000</v>
      </c>
      <c r="M1325" s="526">
        <v>200000</v>
      </c>
      <c r="N1325" s="526"/>
      <c r="O1325" s="526"/>
      <c r="P1325" s="526"/>
      <c r="Q1325" s="526"/>
      <c r="R1325" s="526"/>
      <c r="S1325" s="217">
        <f t="shared" si="1502"/>
        <v>200000</v>
      </c>
      <c r="T1325" s="217">
        <f t="shared" si="1503"/>
        <v>725000</v>
      </c>
      <c r="U1325" s="526"/>
      <c r="V1325" s="526"/>
      <c r="W1325" s="526"/>
      <c r="X1325" s="526"/>
      <c r="Y1325" s="526"/>
      <c r="Z1325" s="217">
        <f>SUM(U1325:Y1325)</f>
        <v>0</v>
      </c>
      <c r="AA1325" s="217">
        <f>Z1325+T1325</f>
        <v>725000</v>
      </c>
      <c r="AB1325" s="526"/>
      <c r="AC1325" s="526"/>
      <c r="AD1325" s="526"/>
      <c r="AE1325" s="526"/>
      <c r="AF1325" s="526"/>
      <c r="AG1325" s="217">
        <f t="shared" si="1507"/>
        <v>0</v>
      </c>
      <c r="AH1325" s="217">
        <f t="shared" si="1508"/>
        <v>725000</v>
      </c>
      <c r="AI1325" s="217">
        <v>570104</v>
      </c>
      <c r="AJ1325" s="764">
        <f t="shared" si="1509"/>
        <v>78.635034482758627</v>
      </c>
    </row>
    <row r="1326" spans="1:36" ht="8.5" customHeight="1">
      <c r="A1326" s="40"/>
      <c r="B1326" s="40"/>
      <c r="C1326" s="124"/>
      <c r="D1326" s="124"/>
      <c r="E1326" s="124"/>
      <c r="F1326" s="41"/>
      <c r="G1326" s="41"/>
      <c r="H1326" s="63"/>
      <c r="I1326" s="41"/>
      <c r="J1326" s="524"/>
      <c r="K1326" s="525"/>
      <c r="L1326" s="526"/>
      <c r="M1326" s="526"/>
      <c r="N1326" s="526"/>
      <c r="O1326" s="526"/>
      <c r="P1326" s="526"/>
      <c r="Q1326" s="526"/>
      <c r="R1326" s="526"/>
      <c r="S1326" s="526"/>
      <c r="T1326" s="526"/>
      <c r="U1326" s="526"/>
      <c r="V1326" s="526"/>
      <c r="W1326" s="526"/>
      <c r="X1326" s="526"/>
      <c r="Y1326" s="526"/>
      <c r="Z1326" s="526"/>
      <c r="AA1326" s="526"/>
      <c r="AB1326" s="526"/>
      <c r="AC1326" s="526"/>
      <c r="AD1326" s="526"/>
      <c r="AE1326" s="526"/>
      <c r="AF1326" s="526"/>
      <c r="AG1326" s="526"/>
      <c r="AH1326" s="526"/>
      <c r="AI1326" s="526"/>
      <c r="AJ1326" s="779"/>
    </row>
    <row r="1327" spans="1:36" ht="14">
      <c r="A1327" s="40"/>
      <c r="B1327" s="40"/>
      <c r="C1327" s="124"/>
      <c r="D1327" s="124"/>
      <c r="E1327" s="124"/>
      <c r="F1327" s="42"/>
      <c r="G1327" s="42"/>
      <c r="H1327" s="165"/>
      <c r="I1327" s="166" t="s">
        <v>37</v>
      </c>
      <c r="J1327" s="528">
        <f>SUM(J1320:J1326)</f>
        <v>17475000</v>
      </c>
      <c r="K1327" s="529">
        <f>SUM(K1320:K1326)</f>
        <v>2525000</v>
      </c>
      <c r="L1327" s="530">
        <f>SUM(L1320:L1326)</f>
        <v>20000000</v>
      </c>
      <c r="M1327" s="530">
        <f t="shared" ref="M1327:T1327" si="1510">SUM(M1320:M1326)</f>
        <v>19897690</v>
      </c>
      <c r="N1327" s="530">
        <f t="shared" si="1510"/>
        <v>0</v>
      </c>
      <c r="O1327" s="530">
        <f t="shared" si="1510"/>
        <v>0</v>
      </c>
      <c r="P1327" s="530">
        <f t="shared" si="1510"/>
        <v>30000</v>
      </c>
      <c r="Q1327" s="530">
        <f t="shared" si="1510"/>
        <v>-810000</v>
      </c>
      <c r="R1327" s="530">
        <f t="shared" si="1510"/>
        <v>0</v>
      </c>
      <c r="S1327" s="530">
        <f t="shared" si="1510"/>
        <v>19117690</v>
      </c>
      <c r="T1327" s="530">
        <f t="shared" si="1510"/>
        <v>39117690</v>
      </c>
      <c r="U1327" s="530"/>
      <c r="V1327" s="530"/>
      <c r="W1327" s="530">
        <f t="shared" ref="W1327" si="1511">SUM(W1320:W1326)</f>
        <v>38960</v>
      </c>
      <c r="X1327" s="530"/>
      <c r="Y1327" s="530"/>
      <c r="Z1327" s="530">
        <f t="shared" ref="Z1327:AA1327" si="1512">SUM(Z1320:Z1326)</f>
        <v>38960</v>
      </c>
      <c r="AA1327" s="530">
        <f t="shared" si="1512"/>
        <v>39156650</v>
      </c>
      <c r="AB1327" s="530"/>
      <c r="AC1327" s="530"/>
      <c r="AD1327" s="530">
        <f t="shared" ref="AD1327" si="1513">SUM(AD1320:AD1326)</f>
        <v>0</v>
      </c>
      <c r="AE1327" s="530">
        <f t="shared" ref="AE1327:AI1327" si="1514">SUM(AE1320:AE1326)</f>
        <v>1000000</v>
      </c>
      <c r="AF1327" s="530"/>
      <c r="AG1327" s="530">
        <f t="shared" si="1514"/>
        <v>1000000</v>
      </c>
      <c r="AH1327" s="530">
        <f t="shared" si="1514"/>
        <v>40156650</v>
      </c>
      <c r="AI1327" s="530">
        <f t="shared" si="1514"/>
        <v>26943180</v>
      </c>
      <c r="AJ1327" s="776">
        <f>AI1327/AH1327*100</f>
        <v>67.095188468161552</v>
      </c>
    </row>
    <row r="1328" spans="1:36" ht="8" customHeight="1">
      <c r="A1328" s="40"/>
      <c r="B1328" s="40"/>
      <c r="C1328" s="124"/>
      <c r="D1328" s="124"/>
      <c r="E1328" s="124"/>
      <c r="F1328" s="41"/>
      <c r="G1328" s="41"/>
      <c r="H1328" s="63"/>
      <c r="I1328" s="41"/>
      <c r="J1328" s="536"/>
      <c r="K1328" s="679"/>
      <c r="L1328" s="678"/>
      <c r="M1328" s="678"/>
      <c r="N1328" s="678"/>
      <c r="O1328" s="678"/>
      <c r="P1328" s="678"/>
      <c r="Q1328" s="678"/>
      <c r="R1328" s="678"/>
      <c r="S1328" s="678"/>
      <c r="T1328" s="678"/>
      <c r="U1328" s="678"/>
      <c r="V1328" s="678"/>
      <c r="W1328" s="678"/>
      <c r="X1328" s="678"/>
      <c r="Y1328" s="678"/>
      <c r="Z1328" s="678"/>
      <c r="AA1328" s="678"/>
      <c r="AB1328" s="702"/>
      <c r="AC1328" s="702"/>
      <c r="AD1328" s="702"/>
      <c r="AE1328" s="702"/>
      <c r="AF1328" s="702"/>
      <c r="AG1328" s="702"/>
      <c r="AH1328" s="702"/>
      <c r="AI1328" s="702"/>
      <c r="AJ1328" s="780"/>
    </row>
    <row r="1329" spans="1:36" ht="14">
      <c r="A1329" s="40">
        <v>128</v>
      </c>
      <c r="B1329" s="40"/>
      <c r="C1329" s="124"/>
      <c r="D1329" s="124"/>
      <c r="E1329" s="124"/>
      <c r="F1329" s="41" t="s">
        <v>110</v>
      </c>
      <c r="G1329" s="41"/>
      <c r="H1329" s="63"/>
      <c r="I1329" s="41"/>
      <c r="J1329" s="678"/>
      <c r="K1329" s="679"/>
      <c r="L1329" s="678"/>
      <c r="M1329" s="678"/>
      <c r="N1329" s="678"/>
      <c r="O1329" s="678"/>
      <c r="P1329" s="678"/>
      <c r="Q1329" s="678"/>
      <c r="R1329" s="678"/>
      <c r="S1329" s="678"/>
      <c r="T1329" s="678"/>
      <c r="U1329" s="678"/>
      <c r="V1329" s="678"/>
      <c r="W1329" s="678"/>
      <c r="X1329" s="678"/>
      <c r="Y1329" s="678"/>
      <c r="Z1329" s="678"/>
      <c r="AA1329" s="678"/>
      <c r="AB1329" s="702"/>
      <c r="AC1329" s="702"/>
      <c r="AD1329" s="702"/>
      <c r="AE1329" s="702"/>
      <c r="AF1329" s="702"/>
      <c r="AG1329" s="702"/>
      <c r="AH1329" s="702"/>
      <c r="AI1329" s="702"/>
      <c r="AJ1329" s="780"/>
    </row>
    <row r="1330" spans="1:36" ht="14">
      <c r="A1330" s="40"/>
      <c r="B1330" s="40"/>
      <c r="C1330" s="124">
        <v>1</v>
      </c>
      <c r="D1330" s="124"/>
      <c r="E1330" s="124"/>
      <c r="F1330" s="41"/>
      <c r="G1330" s="41"/>
      <c r="H1330" s="125" t="s">
        <v>35</v>
      </c>
      <c r="I1330" s="66"/>
      <c r="J1330" s="678"/>
      <c r="K1330" s="679"/>
      <c r="L1330" s="678"/>
      <c r="M1330" s="678"/>
      <c r="N1330" s="678"/>
      <c r="O1330" s="678"/>
      <c r="P1330" s="678"/>
      <c r="Q1330" s="678"/>
      <c r="R1330" s="678"/>
      <c r="S1330" s="678"/>
      <c r="T1330" s="678"/>
      <c r="U1330" s="678"/>
      <c r="V1330" s="678"/>
      <c r="W1330" s="678"/>
      <c r="X1330" s="678"/>
      <c r="Y1330" s="678"/>
      <c r="Z1330" s="678"/>
      <c r="AA1330" s="678"/>
      <c r="AB1330" s="702"/>
      <c r="AC1330" s="702"/>
      <c r="AD1330" s="702"/>
      <c r="AE1330" s="702"/>
      <c r="AF1330" s="702"/>
      <c r="AG1330" s="702"/>
      <c r="AH1330" s="702"/>
      <c r="AI1330" s="702"/>
      <c r="AJ1330" s="780"/>
    </row>
    <row r="1331" spans="1:36" ht="14">
      <c r="A1331" s="160"/>
      <c r="B1331" s="160"/>
      <c r="C1331" s="161"/>
      <c r="D1331" s="161">
        <v>3</v>
      </c>
      <c r="E1331" s="161" t="s">
        <v>199</v>
      </c>
      <c r="F1331" s="41"/>
      <c r="G1331" s="41"/>
      <c r="H1331" s="163"/>
      <c r="I1331" s="125" t="s">
        <v>116</v>
      </c>
      <c r="J1331" s="526">
        <v>3750000</v>
      </c>
      <c r="K1331" s="525"/>
      <c r="L1331" s="526">
        <f>SUM(J1331:K1331)</f>
        <v>3750000</v>
      </c>
      <c r="M1331" s="526">
        <v>1644650</v>
      </c>
      <c r="N1331" s="526"/>
      <c r="O1331" s="526"/>
      <c r="P1331" s="526"/>
      <c r="Q1331" s="526"/>
      <c r="R1331" s="526"/>
      <c r="S1331" s="217">
        <f t="shared" ref="S1331" si="1515">SUM(M1331:R1331)</f>
        <v>1644650</v>
      </c>
      <c r="T1331" s="217">
        <f t="shared" ref="T1331" si="1516">S1331+L1331</f>
        <v>5394650</v>
      </c>
      <c r="U1331" s="526"/>
      <c r="V1331" s="526"/>
      <c r="W1331" s="526"/>
      <c r="X1331" s="526"/>
      <c r="Y1331" s="526"/>
      <c r="Z1331" s="217">
        <f>SUM(U1331:Y1331)</f>
        <v>0</v>
      </c>
      <c r="AA1331" s="217">
        <f>Z1331+T1331</f>
        <v>5394650</v>
      </c>
      <c r="AB1331" s="526"/>
      <c r="AC1331" s="526"/>
      <c r="AD1331" s="526"/>
      <c r="AE1331" s="526"/>
      <c r="AF1331" s="526"/>
      <c r="AG1331" s="217">
        <f t="shared" ref="AG1331" si="1517">SUM(AB1331:AF1331)</f>
        <v>0</v>
      </c>
      <c r="AH1331" s="217">
        <f t="shared" ref="AH1331" si="1518">AG1331+AA1331</f>
        <v>5394650</v>
      </c>
      <c r="AI1331" s="217">
        <v>3986450</v>
      </c>
      <c r="AJ1331" s="764">
        <f>AI1331/AH1331*100</f>
        <v>73.896360282872848</v>
      </c>
    </row>
    <row r="1332" spans="1:36" s="387" customFormat="1" ht="6.5" customHeight="1">
      <c r="A1332" s="160"/>
      <c r="B1332" s="160"/>
      <c r="C1332" s="161"/>
      <c r="D1332" s="161"/>
      <c r="E1332" s="161"/>
      <c r="F1332" s="41"/>
      <c r="G1332" s="41"/>
      <c r="H1332" s="63"/>
      <c r="I1332" s="41"/>
      <c r="J1332" s="526"/>
      <c r="K1332" s="525"/>
      <c r="L1332" s="526"/>
      <c r="M1332" s="526"/>
      <c r="N1332" s="526"/>
      <c r="O1332" s="526"/>
      <c r="P1332" s="526"/>
      <c r="Q1332" s="526"/>
      <c r="R1332" s="526"/>
      <c r="S1332" s="526"/>
      <c r="T1332" s="526"/>
      <c r="U1332" s="526"/>
      <c r="V1332" s="526"/>
      <c r="W1332" s="526"/>
      <c r="X1332" s="526"/>
      <c r="Y1332" s="526"/>
      <c r="Z1332" s="526"/>
      <c r="AA1332" s="526"/>
      <c r="AB1332" s="526"/>
      <c r="AC1332" s="526"/>
      <c r="AD1332" s="526"/>
      <c r="AE1332" s="526"/>
      <c r="AF1332" s="526"/>
      <c r="AG1332" s="526"/>
      <c r="AH1332" s="526"/>
      <c r="AI1332" s="526"/>
      <c r="AJ1332" s="779"/>
    </row>
    <row r="1333" spans="1:36" ht="14">
      <c r="A1333" s="40"/>
      <c r="B1333" s="40"/>
      <c r="C1333" s="124"/>
      <c r="D1333" s="124"/>
      <c r="E1333" s="124"/>
      <c r="F1333" s="42"/>
      <c r="G1333" s="42"/>
      <c r="H1333" s="165"/>
      <c r="I1333" s="166" t="s">
        <v>37</v>
      </c>
      <c r="J1333" s="534">
        <f>SUM(J1331:J1332)</f>
        <v>3750000</v>
      </c>
      <c r="K1333" s="535"/>
      <c r="L1333" s="534">
        <f>SUM(L1330:L1332)</f>
        <v>3750000</v>
      </c>
      <c r="M1333" s="534">
        <f t="shared" ref="M1333:T1333" si="1519">SUM(M1330:M1332)</f>
        <v>1644650</v>
      </c>
      <c r="N1333" s="534">
        <f t="shared" si="1519"/>
        <v>0</v>
      </c>
      <c r="O1333" s="534">
        <f t="shared" si="1519"/>
        <v>0</v>
      </c>
      <c r="P1333" s="534">
        <f t="shared" si="1519"/>
        <v>0</v>
      </c>
      <c r="Q1333" s="534">
        <f t="shared" si="1519"/>
        <v>0</v>
      </c>
      <c r="R1333" s="534">
        <f t="shared" si="1519"/>
        <v>0</v>
      </c>
      <c r="S1333" s="534">
        <f t="shared" si="1519"/>
        <v>1644650</v>
      </c>
      <c r="T1333" s="534">
        <f t="shared" si="1519"/>
        <v>5394650</v>
      </c>
      <c r="U1333" s="534"/>
      <c r="V1333" s="534"/>
      <c r="W1333" s="534"/>
      <c r="X1333" s="534"/>
      <c r="Y1333" s="534"/>
      <c r="Z1333" s="534">
        <f t="shared" ref="Z1333:AA1333" si="1520">SUM(Z1330:Z1332)</f>
        <v>0</v>
      </c>
      <c r="AA1333" s="534">
        <f t="shared" si="1520"/>
        <v>5394650</v>
      </c>
      <c r="AB1333" s="534"/>
      <c r="AC1333" s="534"/>
      <c r="AD1333" s="534"/>
      <c r="AE1333" s="534"/>
      <c r="AF1333" s="534"/>
      <c r="AG1333" s="534">
        <f t="shared" ref="AG1333:AI1333" si="1521">SUM(AG1330:AG1332)</f>
        <v>0</v>
      </c>
      <c r="AH1333" s="534">
        <f t="shared" si="1521"/>
        <v>5394650</v>
      </c>
      <c r="AI1333" s="534">
        <f t="shared" si="1521"/>
        <v>3986450</v>
      </c>
      <c r="AJ1333" s="776">
        <f>AI1333/AH1333*100</f>
        <v>73.896360282872848</v>
      </c>
    </row>
    <row r="1334" spans="1:36" s="387" customFormat="1" ht="7.5" customHeight="1">
      <c r="A1334" s="160"/>
      <c r="B1334" s="160"/>
      <c r="C1334" s="161"/>
      <c r="D1334" s="161"/>
      <c r="E1334" s="161"/>
      <c r="F1334" s="41"/>
      <c r="G1334" s="41"/>
      <c r="H1334" s="63"/>
      <c r="I1334" s="41"/>
      <c r="J1334" s="538"/>
      <c r="K1334" s="679"/>
      <c r="L1334" s="678"/>
      <c r="M1334" s="678"/>
      <c r="N1334" s="678"/>
      <c r="O1334" s="678"/>
      <c r="P1334" s="678"/>
      <c r="Q1334" s="678"/>
      <c r="R1334" s="678"/>
      <c r="S1334" s="678"/>
      <c r="T1334" s="678"/>
      <c r="U1334" s="678"/>
      <c r="V1334" s="678"/>
      <c r="W1334" s="678"/>
      <c r="X1334" s="678"/>
      <c r="Y1334" s="678"/>
      <c r="Z1334" s="678"/>
      <c r="AA1334" s="678"/>
      <c r="AB1334" s="702"/>
      <c r="AC1334" s="702"/>
      <c r="AD1334" s="702"/>
      <c r="AE1334" s="702"/>
      <c r="AF1334" s="702"/>
      <c r="AG1334" s="702"/>
      <c r="AH1334" s="702"/>
      <c r="AI1334" s="702"/>
      <c r="AJ1334" s="780"/>
    </row>
    <row r="1335" spans="1:36" s="387" customFormat="1" ht="27.75" customHeight="1">
      <c r="A1335" s="160">
        <v>129</v>
      </c>
      <c r="B1335" s="160"/>
      <c r="C1335" s="161"/>
      <c r="D1335" s="161"/>
      <c r="E1335" s="161"/>
      <c r="F1335" s="939" t="s">
        <v>362</v>
      </c>
      <c r="G1335" s="939"/>
      <c r="H1335" s="939"/>
      <c r="I1335" s="939"/>
      <c r="J1335" s="678"/>
      <c r="K1335" s="679"/>
      <c r="L1335" s="678"/>
      <c r="M1335" s="678"/>
      <c r="N1335" s="678"/>
      <c r="O1335" s="678"/>
      <c r="P1335" s="678"/>
      <c r="Q1335" s="678"/>
      <c r="R1335" s="678"/>
      <c r="S1335" s="678"/>
      <c r="T1335" s="678"/>
      <c r="U1335" s="678"/>
      <c r="V1335" s="678"/>
      <c r="W1335" s="678"/>
      <c r="X1335" s="678"/>
      <c r="Y1335" s="678"/>
      <c r="Z1335" s="678"/>
      <c r="AA1335" s="678"/>
      <c r="AB1335" s="702"/>
      <c r="AC1335" s="702"/>
      <c r="AD1335" s="702"/>
      <c r="AE1335" s="702"/>
      <c r="AF1335" s="702"/>
      <c r="AG1335" s="702"/>
      <c r="AH1335" s="702"/>
      <c r="AI1335" s="702"/>
      <c r="AJ1335" s="780"/>
    </row>
    <row r="1336" spans="1:36" ht="14">
      <c r="A1336" s="160"/>
      <c r="B1336" s="160"/>
      <c r="C1336" s="161">
        <v>1</v>
      </c>
      <c r="D1336" s="161"/>
      <c r="E1336" s="161"/>
      <c r="F1336" s="41"/>
      <c r="G1336" s="41"/>
      <c r="H1336" s="66" t="s">
        <v>35</v>
      </c>
      <c r="I1336" s="66"/>
      <c r="J1336" s="678"/>
      <c r="K1336" s="679"/>
      <c r="L1336" s="678"/>
      <c r="M1336" s="678"/>
      <c r="N1336" s="678"/>
      <c r="O1336" s="678"/>
      <c r="P1336" s="678"/>
      <c r="Q1336" s="678"/>
      <c r="R1336" s="678"/>
      <c r="S1336" s="678"/>
      <c r="T1336" s="678"/>
      <c r="U1336" s="678"/>
      <c r="V1336" s="678"/>
      <c r="W1336" s="678"/>
      <c r="X1336" s="678"/>
      <c r="Y1336" s="678"/>
      <c r="Z1336" s="678"/>
      <c r="AA1336" s="678"/>
      <c r="AB1336" s="702"/>
      <c r="AC1336" s="702"/>
      <c r="AD1336" s="702"/>
      <c r="AE1336" s="702"/>
      <c r="AF1336" s="702"/>
      <c r="AG1336" s="702"/>
      <c r="AH1336" s="702"/>
      <c r="AI1336" s="702"/>
      <c r="AJ1336" s="780"/>
    </row>
    <row r="1337" spans="1:36" ht="14">
      <c r="A1337" s="160"/>
      <c r="B1337" s="160"/>
      <c r="C1337" s="161"/>
      <c r="D1337" s="161">
        <v>3</v>
      </c>
      <c r="E1337" s="161" t="s">
        <v>199</v>
      </c>
      <c r="F1337" s="41"/>
      <c r="G1337" s="41"/>
      <c r="H1337" s="163"/>
      <c r="I1337" s="125" t="s">
        <v>116</v>
      </c>
      <c r="J1337" s="526">
        <v>5230495</v>
      </c>
      <c r="K1337" s="525"/>
      <c r="L1337" s="526">
        <f>SUM(J1337:K1337)</f>
        <v>5230495</v>
      </c>
      <c r="M1337" s="526">
        <v>2173224</v>
      </c>
      <c r="N1337" s="526"/>
      <c r="O1337" s="526"/>
      <c r="P1337" s="526"/>
      <c r="Q1337" s="526"/>
      <c r="R1337" s="526"/>
      <c r="S1337" s="217">
        <f t="shared" ref="S1337" si="1522">SUM(M1337:R1337)</f>
        <v>2173224</v>
      </c>
      <c r="T1337" s="217">
        <f t="shared" ref="T1337" si="1523">S1337+L1337</f>
        <v>7403719</v>
      </c>
      <c r="U1337" s="526"/>
      <c r="V1337" s="526"/>
      <c r="W1337" s="526"/>
      <c r="X1337" s="526"/>
      <c r="Y1337" s="526"/>
      <c r="Z1337" s="217">
        <f>SUM(U1337:Y1337)</f>
        <v>0</v>
      </c>
      <c r="AA1337" s="217">
        <f>Z1337+T1337</f>
        <v>7403719</v>
      </c>
      <c r="AB1337" s="526"/>
      <c r="AC1337" s="526"/>
      <c r="AD1337" s="526"/>
      <c r="AE1337" s="526"/>
      <c r="AF1337" s="526"/>
      <c r="AG1337" s="217">
        <f t="shared" ref="AG1337" si="1524">SUM(AB1337:AF1337)</f>
        <v>0</v>
      </c>
      <c r="AH1337" s="217">
        <f t="shared" ref="AH1337" si="1525">AG1337+AA1337</f>
        <v>7403719</v>
      </c>
      <c r="AI1337" s="217">
        <v>4999482</v>
      </c>
      <c r="AJ1337" s="764">
        <f>AI1337/AH1337*100</f>
        <v>67.526630872943713</v>
      </c>
    </row>
    <row r="1338" spans="1:36" ht="14">
      <c r="A1338" s="160"/>
      <c r="B1338" s="160"/>
      <c r="C1338" s="161"/>
      <c r="D1338" s="161"/>
      <c r="E1338" s="161"/>
      <c r="F1338" s="41"/>
      <c r="G1338" s="41"/>
      <c r="H1338" s="63"/>
      <c r="I1338" s="41"/>
      <c r="J1338" s="524"/>
      <c r="K1338" s="525"/>
      <c r="L1338" s="526"/>
      <c r="M1338" s="526"/>
      <c r="N1338" s="526"/>
      <c r="O1338" s="526"/>
      <c r="P1338" s="526"/>
      <c r="Q1338" s="526"/>
      <c r="R1338" s="526"/>
      <c r="S1338" s="526"/>
      <c r="T1338" s="526"/>
      <c r="U1338" s="526"/>
      <c r="V1338" s="526"/>
      <c r="W1338" s="526"/>
      <c r="X1338" s="526"/>
      <c r="Y1338" s="526"/>
      <c r="Z1338" s="526"/>
      <c r="AA1338" s="526"/>
      <c r="AB1338" s="526"/>
      <c r="AC1338" s="526"/>
      <c r="AD1338" s="526"/>
      <c r="AE1338" s="526"/>
      <c r="AF1338" s="526"/>
      <c r="AG1338" s="526"/>
      <c r="AH1338" s="526"/>
      <c r="AI1338" s="526"/>
      <c r="AJ1338" s="779"/>
    </row>
    <row r="1339" spans="1:36" ht="14">
      <c r="A1339" s="40"/>
      <c r="B1339" s="40"/>
      <c r="C1339" s="124"/>
      <c r="D1339" s="124"/>
      <c r="E1339" s="124"/>
      <c r="F1339" s="42"/>
      <c r="G1339" s="42"/>
      <c r="H1339" s="165"/>
      <c r="I1339" s="166" t="s">
        <v>37</v>
      </c>
      <c r="J1339" s="534">
        <f>SUM(J1337:J1338)</f>
        <v>5230495</v>
      </c>
      <c r="K1339" s="535"/>
      <c r="L1339" s="534">
        <f>SUM(L1337:L1337)</f>
        <v>5230495</v>
      </c>
      <c r="M1339" s="534">
        <f t="shared" ref="M1339:T1339" si="1526">SUM(M1337:M1337)</f>
        <v>2173224</v>
      </c>
      <c r="N1339" s="534">
        <f t="shared" si="1526"/>
        <v>0</v>
      </c>
      <c r="O1339" s="534">
        <f t="shared" si="1526"/>
        <v>0</v>
      </c>
      <c r="P1339" s="534">
        <f t="shared" si="1526"/>
        <v>0</v>
      </c>
      <c r="Q1339" s="534">
        <f t="shared" si="1526"/>
        <v>0</v>
      </c>
      <c r="R1339" s="534">
        <f t="shared" si="1526"/>
        <v>0</v>
      </c>
      <c r="S1339" s="534">
        <f t="shared" si="1526"/>
        <v>2173224</v>
      </c>
      <c r="T1339" s="534">
        <f t="shared" si="1526"/>
        <v>7403719</v>
      </c>
      <c r="U1339" s="534"/>
      <c r="V1339" s="534"/>
      <c r="W1339" s="534"/>
      <c r="X1339" s="534"/>
      <c r="Y1339" s="534"/>
      <c r="Z1339" s="534">
        <f t="shared" ref="Z1339:AA1339" si="1527">SUM(Z1337:Z1337)</f>
        <v>0</v>
      </c>
      <c r="AA1339" s="534">
        <f t="shared" si="1527"/>
        <v>7403719</v>
      </c>
      <c r="AB1339" s="534"/>
      <c r="AC1339" s="534"/>
      <c r="AD1339" s="534"/>
      <c r="AE1339" s="534"/>
      <c r="AF1339" s="534"/>
      <c r="AG1339" s="534">
        <f t="shared" ref="AG1339:AI1339" si="1528">SUM(AG1337:AG1337)</f>
        <v>0</v>
      </c>
      <c r="AH1339" s="534">
        <f t="shared" si="1528"/>
        <v>7403719</v>
      </c>
      <c r="AI1339" s="534">
        <f t="shared" si="1528"/>
        <v>4999482</v>
      </c>
      <c r="AJ1339" s="776">
        <f>AI1339/AH1339*100</f>
        <v>67.526630872943713</v>
      </c>
    </row>
    <row r="1340" spans="1:36" ht="14">
      <c r="A1340" s="40"/>
      <c r="B1340" s="40"/>
      <c r="C1340" s="124"/>
      <c r="D1340" s="124"/>
      <c r="E1340" s="124"/>
      <c r="F1340" s="41"/>
      <c r="G1340" s="41"/>
      <c r="H1340" s="63"/>
      <c r="I1340" s="41"/>
      <c r="J1340" s="536"/>
      <c r="K1340" s="679"/>
      <c r="L1340" s="678"/>
      <c r="M1340" s="678"/>
      <c r="N1340" s="678"/>
      <c r="O1340" s="678"/>
      <c r="P1340" s="678"/>
      <c r="Q1340" s="678"/>
      <c r="R1340" s="678"/>
      <c r="S1340" s="678"/>
      <c r="T1340" s="678"/>
      <c r="U1340" s="678"/>
      <c r="V1340" s="678"/>
      <c r="W1340" s="678"/>
      <c r="X1340" s="678"/>
      <c r="Y1340" s="678"/>
      <c r="Z1340" s="678"/>
      <c r="AA1340" s="678"/>
      <c r="AB1340" s="702"/>
      <c r="AC1340" s="702"/>
      <c r="AD1340" s="702"/>
      <c r="AE1340" s="702"/>
      <c r="AF1340" s="702"/>
      <c r="AG1340" s="702"/>
      <c r="AH1340" s="702"/>
      <c r="AI1340" s="702"/>
      <c r="AJ1340" s="780"/>
    </row>
    <row r="1341" spans="1:36" ht="14">
      <c r="A1341" s="40">
        <v>130</v>
      </c>
      <c r="B1341" s="40"/>
      <c r="C1341" s="124"/>
      <c r="D1341" s="124"/>
      <c r="E1341" s="124"/>
      <c r="F1341" s="522" t="s">
        <v>132</v>
      </c>
      <c r="G1341" s="41"/>
      <c r="H1341" s="63"/>
      <c r="I1341" s="41"/>
      <c r="J1341" s="680"/>
      <c r="K1341" s="679"/>
      <c r="L1341" s="678"/>
      <c r="M1341" s="678"/>
      <c r="N1341" s="678"/>
      <c r="O1341" s="678"/>
      <c r="P1341" s="678"/>
      <c r="Q1341" s="678"/>
      <c r="R1341" s="678"/>
      <c r="S1341" s="678"/>
      <c r="T1341" s="678"/>
      <c r="U1341" s="678"/>
      <c r="V1341" s="678"/>
      <c r="W1341" s="678"/>
      <c r="X1341" s="678"/>
      <c r="Y1341" s="678"/>
      <c r="Z1341" s="678"/>
      <c r="AA1341" s="678"/>
      <c r="AB1341" s="702"/>
      <c r="AC1341" s="702"/>
      <c r="AD1341" s="702"/>
      <c r="AE1341" s="702"/>
      <c r="AF1341" s="702"/>
      <c r="AG1341" s="702"/>
      <c r="AH1341" s="702"/>
      <c r="AI1341" s="702"/>
      <c r="AJ1341" s="780"/>
    </row>
    <row r="1342" spans="1:36" ht="14">
      <c r="A1342" s="40"/>
      <c r="B1342" s="40"/>
      <c r="C1342" s="124">
        <v>2</v>
      </c>
      <c r="D1342" s="124"/>
      <c r="E1342" s="124"/>
      <c r="F1342" s="41"/>
      <c r="G1342" s="41"/>
      <c r="H1342" s="162" t="s">
        <v>211</v>
      </c>
      <c r="I1342" s="66"/>
      <c r="J1342" s="680"/>
      <c r="K1342" s="679"/>
      <c r="L1342" s="678"/>
      <c r="M1342" s="678"/>
      <c r="N1342" s="678"/>
      <c r="O1342" s="678"/>
      <c r="P1342" s="678"/>
      <c r="Q1342" s="678"/>
      <c r="R1342" s="678"/>
      <c r="S1342" s="678"/>
      <c r="T1342" s="678"/>
      <c r="U1342" s="678"/>
      <c r="V1342" s="678"/>
      <c r="W1342" s="678"/>
      <c r="X1342" s="678"/>
      <c r="Y1342" s="678"/>
      <c r="Z1342" s="678"/>
      <c r="AA1342" s="678"/>
      <c r="AB1342" s="702"/>
      <c r="AC1342" s="702"/>
      <c r="AD1342" s="702"/>
      <c r="AE1342" s="702"/>
      <c r="AF1342" s="702"/>
      <c r="AG1342" s="702"/>
      <c r="AH1342" s="702"/>
      <c r="AI1342" s="702"/>
      <c r="AJ1342" s="780"/>
    </row>
    <row r="1343" spans="1:36" ht="14">
      <c r="A1343" s="40"/>
      <c r="B1343" s="40"/>
      <c r="C1343" s="124"/>
      <c r="D1343" s="124">
        <v>6</v>
      </c>
      <c r="E1343" s="124" t="s">
        <v>199</v>
      </c>
      <c r="F1343" s="41"/>
      <c r="G1343" s="41"/>
      <c r="H1343" s="163"/>
      <c r="I1343" s="125" t="s">
        <v>213</v>
      </c>
      <c r="J1343" s="524"/>
      <c r="K1343" s="525">
        <v>2000000</v>
      </c>
      <c r="L1343" s="526">
        <f>SUM(J1343:K1343)</f>
        <v>2000000</v>
      </c>
      <c r="M1343" s="526">
        <v>2000000</v>
      </c>
      <c r="N1343" s="526"/>
      <c r="O1343" s="526"/>
      <c r="P1343" s="526"/>
      <c r="Q1343" s="526"/>
      <c r="R1343" s="526"/>
      <c r="S1343" s="217">
        <f t="shared" ref="S1343" si="1529">SUM(M1343:R1343)</f>
        <v>2000000</v>
      </c>
      <c r="T1343" s="217">
        <f t="shared" ref="T1343" si="1530">S1343+L1343</f>
        <v>4000000</v>
      </c>
      <c r="U1343" s="526"/>
      <c r="V1343" s="526"/>
      <c r="W1343" s="526"/>
      <c r="X1343" s="526"/>
      <c r="Y1343" s="526"/>
      <c r="Z1343" s="217">
        <f>SUM(U1343:Y1343)</f>
        <v>0</v>
      </c>
      <c r="AA1343" s="217">
        <f>Z1343+T1343</f>
        <v>4000000</v>
      </c>
      <c r="AB1343" s="526"/>
      <c r="AC1343" s="526"/>
      <c r="AD1343" s="526"/>
      <c r="AE1343" s="526"/>
      <c r="AF1343" s="526"/>
      <c r="AG1343" s="217">
        <f t="shared" ref="AG1343" si="1531">SUM(AB1343:AF1343)</f>
        <v>0</v>
      </c>
      <c r="AH1343" s="217">
        <f t="shared" ref="AH1343" si="1532">AG1343+AA1343</f>
        <v>4000000</v>
      </c>
      <c r="AI1343" s="217"/>
      <c r="AJ1343" s="764"/>
    </row>
    <row r="1344" spans="1:36" ht="14">
      <c r="A1344" s="40"/>
      <c r="B1344" s="40"/>
      <c r="C1344" s="124"/>
      <c r="D1344" s="124"/>
      <c r="E1344" s="124"/>
      <c r="F1344" s="41"/>
      <c r="G1344" s="41"/>
      <c r="H1344" s="63"/>
      <c r="I1344" s="41"/>
      <c r="J1344" s="524"/>
      <c r="K1344" s="525"/>
      <c r="L1344" s="526"/>
      <c r="M1344" s="526"/>
      <c r="N1344" s="526"/>
      <c r="O1344" s="526"/>
      <c r="P1344" s="526"/>
      <c r="Q1344" s="526"/>
      <c r="R1344" s="526"/>
      <c r="S1344" s="526"/>
      <c r="T1344" s="526"/>
      <c r="U1344" s="526"/>
      <c r="V1344" s="526"/>
      <c r="W1344" s="526"/>
      <c r="X1344" s="526"/>
      <c r="Y1344" s="526"/>
      <c r="Z1344" s="526"/>
      <c r="AA1344" s="526"/>
      <c r="AB1344" s="526"/>
      <c r="AC1344" s="526"/>
      <c r="AD1344" s="526"/>
      <c r="AE1344" s="526"/>
      <c r="AF1344" s="526"/>
      <c r="AG1344" s="526"/>
      <c r="AH1344" s="526"/>
      <c r="AI1344" s="526"/>
      <c r="AJ1344" s="779"/>
    </row>
    <row r="1345" spans="1:36" ht="14">
      <c r="A1345" s="40"/>
      <c r="B1345" s="40"/>
      <c r="C1345" s="124"/>
      <c r="D1345" s="124"/>
      <c r="E1345" s="124"/>
      <c r="F1345" s="42"/>
      <c r="G1345" s="42"/>
      <c r="H1345" s="165"/>
      <c r="I1345" s="166" t="s">
        <v>37</v>
      </c>
      <c r="J1345" s="534"/>
      <c r="K1345" s="535">
        <f>SUM(K1342:K1344)</f>
        <v>2000000</v>
      </c>
      <c r="L1345" s="534">
        <f>SUM(L1342:L1344)</f>
        <v>2000000</v>
      </c>
      <c r="M1345" s="534">
        <f t="shared" ref="M1345:T1345" si="1533">SUM(M1342:M1344)</f>
        <v>2000000</v>
      </c>
      <c r="N1345" s="534">
        <f t="shared" si="1533"/>
        <v>0</v>
      </c>
      <c r="O1345" s="534">
        <f t="shared" si="1533"/>
        <v>0</v>
      </c>
      <c r="P1345" s="534">
        <f t="shared" si="1533"/>
        <v>0</v>
      </c>
      <c r="Q1345" s="534">
        <f t="shared" si="1533"/>
        <v>0</v>
      </c>
      <c r="R1345" s="534">
        <f t="shared" si="1533"/>
        <v>0</v>
      </c>
      <c r="S1345" s="534">
        <f t="shared" si="1533"/>
        <v>2000000</v>
      </c>
      <c r="T1345" s="534">
        <f t="shared" si="1533"/>
        <v>4000000</v>
      </c>
      <c r="U1345" s="534"/>
      <c r="V1345" s="534"/>
      <c r="W1345" s="534"/>
      <c r="X1345" s="534"/>
      <c r="Y1345" s="534"/>
      <c r="Z1345" s="534">
        <f t="shared" ref="Z1345:AA1345" si="1534">SUM(Z1342:Z1344)</f>
        <v>0</v>
      </c>
      <c r="AA1345" s="534">
        <f t="shared" si="1534"/>
        <v>4000000</v>
      </c>
      <c r="AB1345" s="534"/>
      <c r="AC1345" s="534"/>
      <c r="AD1345" s="534"/>
      <c r="AE1345" s="534"/>
      <c r="AF1345" s="534"/>
      <c r="AG1345" s="534">
        <f t="shared" ref="AG1345:AH1345" si="1535">SUM(AG1342:AG1344)</f>
        <v>0</v>
      </c>
      <c r="AH1345" s="534">
        <f t="shared" si="1535"/>
        <v>4000000</v>
      </c>
      <c r="AI1345" s="534"/>
      <c r="AJ1345" s="776"/>
    </row>
    <row r="1346" spans="1:36" ht="14">
      <c r="A1346" s="40"/>
      <c r="B1346" s="40"/>
      <c r="C1346" s="124"/>
      <c r="D1346" s="124"/>
      <c r="E1346" s="124"/>
      <c r="F1346" s="41"/>
      <c r="G1346" s="41"/>
      <c r="H1346" s="63"/>
      <c r="I1346" s="41"/>
      <c r="J1346" s="536"/>
      <c r="K1346" s="679"/>
      <c r="L1346" s="678"/>
      <c r="M1346" s="678"/>
      <c r="N1346" s="678"/>
      <c r="O1346" s="678"/>
      <c r="P1346" s="678"/>
      <c r="Q1346" s="678"/>
      <c r="R1346" s="678"/>
      <c r="S1346" s="678"/>
      <c r="T1346" s="678"/>
      <c r="U1346" s="678"/>
      <c r="V1346" s="678"/>
      <c r="W1346" s="678"/>
      <c r="X1346" s="678"/>
      <c r="Y1346" s="678"/>
      <c r="Z1346" s="678"/>
      <c r="AA1346" s="678"/>
      <c r="AB1346" s="702"/>
      <c r="AC1346" s="702"/>
      <c r="AD1346" s="702"/>
      <c r="AE1346" s="702"/>
      <c r="AF1346" s="702"/>
      <c r="AG1346" s="702"/>
      <c r="AH1346" s="702"/>
      <c r="AI1346" s="702"/>
      <c r="AJ1346" s="780"/>
    </row>
    <row r="1347" spans="1:36" ht="14">
      <c r="A1347" s="40">
        <v>131</v>
      </c>
      <c r="B1347" s="40"/>
      <c r="C1347" s="124"/>
      <c r="D1347" s="124"/>
      <c r="E1347" s="124"/>
      <c r="F1347" s="522" t="s">
        <v>115</v>
      </c>
      <c r="G1347" s="41"/>
      <c r="H1347" s="63"/>
      <c r="I1347" s="41"/>
      <c r="J1347" s="680"/>
      <c r="K1347" s="679"/>
      <c r="L1347" s="678"/>
      <c r="M1347" s="678"/>
      <c r="N1347" s="678"/>
      <c r="O1347" s="678"/>
      <c r="P1347" s="678"/>
      <c r="Q1347" s="678"/>
      <c r="R1347" s="678"/>
      <c r="S1347" s="678"/>
      <c r="T1347" s="678"/>
      <c r="U1347" s="678"/>
      <c r="V1347" s="678"/>
      <c r="W1347" s="678"/>
      <c r="X1347" s="678"/>
      <c r="Y1347" s="678"/>
      <c r="Z1347" s="678"/>
      <c r="AA1347" s="678"/>
      <c r="AB1347" s="702"/>
      <c r="AC1347" s="702"/>
      <c r="AD1347" s="702"/>
      <c r="AE1347" s="702"/>
      <c r="AF1347" s="702"/>
      <c r="AG1347" s="702"/>
      <c r="AH1347" s="702"/>
      <c r="AI1347" s="702"/>
      <c r="AJ1347" s="780"/>
    </row>
    <row r="1348" spans="1:36" ht="14">
      <c r="A1348" s="40"/>
      <c r="B1348" s="40"/>
      <c r="C1348" s="124">
        <v>1</v>
      </c>
      <c r="D1348" s="124"/>
      <c r="E1348" s="124"/>
      <c r="F1348" s="41"/>
      <c r="G1348" s="41"/>
      <c r="H1348" s="125" t="s">
        <v>35</v>
      </c>
      <c r="I1348" s="66"/>
      <c r="J1348" s="680"/>
      <c r="K1348" s="679"/>
      <c r="L1348" s="678"/>
      <c r="M1348" s="678"/>
      <c r="N1348" s="678"/>
      <c r="O1348" s="678"/>
      <c r="P1348" s="678"/>
      <c r="Q1348" s="678"/>
      <c r="R1348" s="678"/>
      <c r="S1348" s="678"/>
      <c r="T1348" s="678"/>
      <c r="U1348" s="678"/>
      <c r="V1348" s="678"/>
      <c r="W1348" s="678"/>
      <c r="X1348" s="678"/>
      <c r="Y1348" s="678"/>
      <c r="Z1348" s="678"/>
      <c r="AA1348" s="678"/>
      <c r="AB1348" s="702"/>
      <c r="AC1348" s="702"/>
      <c r="AD1348" s="702"/>
      <c r="AE1348" s="702"/>
      <c r="AF1348" s="702"/>
      <c r="AG1348" s="702"/>
      <c r="AH1348" s="702"/>
      <c r="AI1348" s="702"/>
      <c r="AJ1348" s="780"/>
    </row>
    <row r="1349" spans="1:36" ht="14">
      <c r="A1349" s="40"/>
      <c r="B1349" s="40"/>
      <c r="C1349" s="124"/>
      <c r="D1349" s="124">
        <v>3</v>
      </c>
      <c r="E1349" s="124" t="s">
        <v>199</v>
      </c>
      <c r="F1349" s="41"/>
      <c r="G1349" s="41"/>
      <c r="H1349" s="163"/>
      <c r="I1349" s="125" t="s">
        <v>116</v>
      </c>
      <c r="J1349" s="524">
        <v>3700000</v>
      </c>
      <c r="K1349" s="525"/>
      <c r="L1349" s="526">
        <f>SUM(J1349:K1349)</f>
        <v>3700000</v>
      </c>
      <c r="M1349" s="526">
        <v>4711812</v>
      </c>
      <c r="N1349" s="526"/>
      <c r="O1349" s="526"/>
      <c r="P1349" s="526"/>
      <c r="Q1349" s="526"/>
      <c r="R1349" s="526"/>
      <c r="S1349" s="217">
        <f t="shared" ref="S1349" si="1536">SUM(M1349:R1349)</f>
        <v>4711812</v>
      </c>
      <c r="T1349" s="217">
        <f t="shared" ref="T1349" si="1537">S1349+L1349</f>
        <v>8411812</v>
      </c>
      <c r="U1349" s="526"/>
      <c r="V1349" s="526"/>
      <c r="W1349" s="526"/>
      <c r="X1349" s="526"/>
      <c r="Y1349" s="526"/>
      <c r="Z1349" s="217">
        <f>SUM(U1349:Y1349)</f>
        <v>0</v>
      </c>
      <c r="AA1349" s="217">
        <f>Z1349+T1349</f>
        <v>8411812</v>
      </c>
      <c r="AB1349" s="526"/>
      <c r="AC1349" s="526"/>
      <c r="AD1349" s="526"/>
      <c r="AE1349" s="526"/>
      <c r="AF1349" s="526"/>
      <c r="AG1349" s="217">
        <f t="shared" ref="AG1349" si="1538">SUM(AB1349:AF1349)</f>
        <v>0</v>
      </c>
      <c r="AH1349" s="217">
        <f t="shared" ref="AH1349" si="1539">AG1349+AA1349</f>
        <v>8411812</v>
      </c>
      <c r="AI1349" s="217">
        <v>2348976</v>
      </c>
      <c r="AJ1349" s="764">
        <f>AI1349/AH1349*100</f>
        <v>27.924732507098355</v>
      </c>
    </row>
    <row r="1350" spans="1:36" ht="14">
      <c r="A1350" s="40"/>
      <c r="B1350" s="40"/>
      <c r="C1350" s="124"/>
      <c r="D1350" s="124"/>
      <c r="E1350" s="124"/>
      <c r="F1350" s="41"/>
      <c r="G1350" s="41"/>
      <c r="H1350" s="63"/>
      <c r="I1350" s="41"/>
      <c r="J1350" s="524"/>
      <c r="K1350" s="525"/>
      <c r="L1350" s="526"/>
      <c r="M1350" s="526"/>
      <c r="N1350" s="526"/>
      <c r="O1350" s="526"/>
      <c r="P1350" s="526"/>
      <c r="Q1350" s="526"/>
      <c r="R1350" s="526"/>
      <c r="S1350" s="526"/>
      <c r="T1350" s="526"/>
      <c r="U1350" s="526"/>
      <c r="V1350" s="526"/>
      <c r="W1350" s="526"/>
      <c r="X1350" s="526"/>
      <c r="Y1350" s="526"/>
      <c r="Z1350" s="526"/>
      <c r="AA1350" s="526"/>
      <c r="AB1350" s="526"/>
      <c r="AC1350" s="526"/>
      <c r="AD1350" s="526"/>
      <c r="AE1350" s="526"/>
      <c r="AF1350" s="526"/>
      <c r="AG1350" s="526"/>
      <c r="AH1350" s="526"/>
      <c r="AI1350" s="526"/>
      <c r="AJ1350" s="779"/>
    </row>
    <row r="1351" spans="1:36" ht="14">
      <c r="A1351" s="40"/>
      <c r="B1351" s="40"/>
      <c r="C1351" s="124"/>
      <c r="D1351" s="124"/>
      <c r="E1351" s="124"/>
      <c r="F1351" s="42"/>
      <c r="G1351" s="42"/>
      <c r="H1351" s="165"/>
      <c r="I1351" s="166" t="s">
        <v>37</v>
      </c>
      <c r="J1351" s="534">
        <f>SUM(J1349:J1350)</f>
        <v>3700000</v>
      </c>
      <c r="K1351" s="535"/>
      <c r="L1351" s="534">
        <f>SUM(L1348:L1350)</f>
        <v>3700000</v>
      </c>
      <c r="M1351" s="534">
        <f t="shared" ref="M1351:T1351" si="1540">SUM(M1348:M1350)</f>
        <v>4711812</v>
      </c>
      <c r="N1351" s="534">
        <f t="shared" si="1540"/>
        <v>0</v>
      </c>
      <c r="O1351" s="534">
        <f t="shared" si="1540"/>
        <v>0</v>
      </c>
      <c r="P1351" s="534">
        <f t="shared" si="1540"/>
        <v>0</v>
      </c>
      <c r="Q1351" s="534">
        <f t="shared" si="1540"/>
        <v>0</v>
      </c>
      <c r="R1351" s="534">
        <f t="shared" si="1540"/>
        <v>0</v>
      </c>
      <c r="S1351" s="534">
        <f t="shared" si="1540"/>
        <v>4711812</v>
      </c>
      <c r="T1351" s="534">
        <f t="shared" si="1540"/>
        <v>8411812</v>
      </c>
      <c r="U1351" s="534"/>
      <c r="V1351" s="534"/>
      <c r="W1351" s="534"/>
      <c r="X1351" s="534"/>
      <c r="Y1351" s="534"/>
      <c r="Z1351" s="534">
        <f t="shared" ref="Z1351:AA1351" si="1541">SUM(Z1348:Z1350)</f>
        <v>0</v>
      </c>
      <c r="AA1351" s="534">
        <f t="shared" si="1541"/>
        <v>8411812</v>
      </c>
      <c r="AB1351" s="534"/>
      <c r="AC1351" s="534"/>
      <c r="AD1351" s="534"/>
      <c r="AE1351" s="534"/>
      <c r="AF1351" s="534"/>
      <c r="AG1351" s="534">
        <f t="shared" ref="AG1351:AI1351" si="1542">SUM(AG1348:AG1350)</f>
        <v>0</v>
      </c>
      <c r="AH1351" s="534">
        <f t="shared" si="1542"/>
        <v>8411812</v>
      </c>
      <c r="AI1351" s="534">
        <f t="shared" si="1542"/>
        <v>2348976</v>
      </c>
      <c r="AJ1351" s="776">
        <f>AI1351/AH1351*100</f>
        <v>27.924732507098355</v>
      </c>
    </row>
    <row r="1352" spans="1:36" ht="14">
      <c r="A1352" s="40"/>
      <c r="B1352" s="40"/>
      <c r="C1352" s="124"/>
      <c r="D1352" s="124"/>
      <c r="E1352" s="124"/>
      <c r="F1352" s="41"/>
      <c r="G1352" s="41"/>
      <c r="H1352" s="63"/>
      <c r="I1352" s="41"/>
      <c r="J1352" s="536"/>
      <c r="K1352" s="679"/>
      <c r="L1352" s="678"/>
      <c r="M1352" s="678"/>
      <c r="N1352" s="678"/>
      <c r="O1352" s="678"/>
      <c r="P1352" s="678"/>
      <c r="Q1352" s="678"/>
      <c r="R1352" s="678"/>
      <c r="S1352" s="678"/>
      <c r="T1352" s="678"/>
      <c r="U1352" s="678"/>
      <c r="V1352" s="678"/>
      <c r="W1352" s="678"/>
      <c r="X1352" s="678"/>
      <c r="Y1352" s="678"/>
      <c r="Z1352" s="678"/>
      <c r="AA1352" s="678"/>
      <c r="AB1352" s="702"/>
      <c r="AC1352" s="702"/>
      <c r="AD1352" s="702"/>
      <c r="AE1352" s="702"/>
      <c r="AF1352" s="702"/>
      <c r="AG1352" s="702"/>
      <c r="AH1352" s="702"/>
      <c r="AI1352" s="702"/>
      <c r="AJ1352" s="780"/>
    </row>
    <row r="1353" spans="1:36" ht="14">
      <c r="A1353" s="40">
        <v>132</v>
      </c>
      <c r="B1353" s="40"/>
      <c r="C1353" s="124"/>
      <c r="D1353" s="124"/>
      <c r="E1353" s="124"/>
      <c r="F1353" s="522" t="s">
        <v>385</v>
      </c>
      <c r="G1353" s="41"/>
      <c r="H1353" s="63"/>
      <c r="I1353" s="41"/>
      <c r="J1353" s="680"/>
      <c r="K1353" s="679"/>
      <c r="L1353" s="678"/>
      <c r="M1353" s="678"/>
      <c r="N1353" s="678"/>
      <c r="O1353" s="678"/>
      <c r="P1353" s="678"/>
      <c r="Q1353" s="678"/>
      <c r="R1353" s="678"/>
      <c r="S1353" s="678"/>
      <c r="T1353" s="678"/>
      <c r="U1353" s="678"/>
      <c r="V1353" s="678"/>
      <c r="W1353" s="678"/>
      <c r="X1353" s="678"/>
      <c r="Y1353" s="678"/>
      <c r="Z1353" s="678"/>
      <c r="AA1353" s="678"/>
      <c r="AB1353" s="702"/>
      <c r="AC1353" s="702"/>
      <c r="AD1353" s="702"/>
      <c r="AE1353" s="702"/>
      <c r="AF1353" s="702"/>
      <c r="AG1353" s="702"/>
      <c r="AH1353" s="702"/>
      <c r="AI1353" s="702"/>
      <c r="AJ1353" s="780"/>
    </row>
    <row r="1354" spans="1:36" ht="14">
      <c r="A1354" s="40"/>
      <c r="B1354" s="40"/>
      <c r="C1354" s="124">
        <v>2</v>
      </c>
      <c r="D1354" s="124"/>
      <c r="E1354" s="124"/>
      <c r="F1354" s="41"/>
      <c r="G1354" s="41"/>
      <c r="H1354" s="162" t="s">
        <v>211</v>
      </c>
      <c r="I1354" s="66"/>
      <c r="J1354" s="680"/>
      <c r="K1354" s="679"/>
      <c r="L1354" s="678"/>
      <c r="M1354" s="678"/>
      <c r="N1354" s="678"/>
      <c r="O1354" s="678"/>
      <c r="P1354" s="678"/>
      <c r="Q1354" s="678"/>
      <c r="R1354" s="678"/>
      <c r="S1354" s="678"/>
      <c r="T1354" s="678"/>
      <c r="U1354" s="678"/>
      <c r="V1354" s="678"/>
      <c r="W1354" s="678"/>
      <c r="X1354" s="678"/>
      <c r="Y1354" s="678"/>
      <c r="Z1354" s="678"/>
      <c r="AA1354" s="678"/>
      <c r="AB1354" s="702"/>
      <c r="AC1354" s="702"/>
      <c r="AD1354" s="702"/>
      <c r="AE1354" s="702"/>
      <c r="AF1354" s="702"/>
      <c r="AG1354" s="702"/>
      <c r="AH1354" s="702"/>
      <c r="AI1354" s="702"/>
      <c r="AJ1354" s="780"/>
    </row>
    <row r="1355" spans="1:36" ht="14">
      <c r="A1355" s="40"/>
      <c r="B1355" s="40"/>
      <c r="C1355" s="124"/>
      <c r="D1355" s="124">
        <v>6</v>
      </c>
      <c r="E1355" s="124" t="s">
        <v>198</v>
      </c>
      <c r="F1355" s="41"/>
      <c r="G1355" s="41"/>
      <c r="H1355" s="163"/>
      <c r="I1355" s="125" t="s">
        <v>213</v>
      </c>
      <c r="J1355" s="524"/>
      <c r="K1355" s="525">
        <v>6300000</v>
      </c>
      <c r="L1355" s="526">
        <f>SUM(J1355:K1355)</f>
        <v>6300000</v>
      </c>
      <c r="M1355" s="526"/>
      <c r="N1355" s="526"/>
      <c r="O1355" s="526"/>
      <c r="P1355" s="526"/>
      <c r="Q1355" s="526"/>
      <c r="R1355" s="526"/>
      <c r="S1355" s="217">
        <f t="shared" ref="S1355" si="1543">SUM(M1355:R1355)</f>
        <v>0</v>
      </c>
      <c r="T1355" s="217">
        <f t="shared" ref="T1355" si="1544">S1355+L1355</f>
        <v>6300000</v>
      </c>
      <c r="U1355" s="526"/>
      <c r="V1355" s="526"/>
      <c r="W1355" s="526"/>
      <c r="X1355" s="526"/>
      <c r="Y1355" s="526"/>
      <c r="Z1355" s="217">
        <f>SUM(U1355:Y1355)</f>
        <v>0</v>
      </c>
      <c r="AA1355" s="217">
        <f>Z1355+T1355</f>
        <v>6300000</v>
      </c>
      <c r="AB1355" s="526"/>
      <c r="AC1355" s="526"/>
      <c r="AD1355" s="526"/>
      <c r="AE1355" s="526">
        <v>1380000</v>
      </c>
      <c r="AF1355" s="526"/>
      <c r="AG1355" s="217">
        <f t="shared" ref="AG1355" si="1545">SUM(AB1355:AF1355)</f>
        <v>1380000</v>
      </c>
      <c r="AH1355" s="217">
        <f t="shared" ref="AH1355" si="1546">AG1355+AA1355</f>
        <v>7680000</v>
      </c>
      <c r="AI1355" s="217">
        <v>7678920</v>
      </c>
      <c r="AJ1355" s="764">
        <f>AI1355/AH1355*100</f>
        <v>99.985937500000006</v>
      </c>
    </row>
    <row r="1356" spans="1:36" ht="14">
      <c r="A1356" s="40"/>
      <c r="B1356" s="40"/>
      <c r="C1356" s="124"/>
      <c r="D1356" s="124"/>
      <c r="E1356" s="124"/>
      <c r="F1356" s="41"/>
      <c r="G1356" s="41"/>
      <c r="H1356" s="63"/>
      <c r="I1356" s="41"/>
      <c r="J1356" s="524"/>
      <c r="K1356" s="525"/>
      <c r="L1356" s="526"/>
      <c r="M1356" s="526"/>
      <c r="N1356" s="526"/>
      <c r="O1356" s="526"/>
      <c r="P1356" s="526"/>
      <c r="Q1356" s="526"/>
      <c r="R1356" s="526"/>
      <c r="S1356" s="526"/>
      <c r="T1356" s="526"/>
      <c r="U1356" s="526"/>
      <c r="V1356" s="526"/>
      <c r="W1356" s="526"/>
      <c r="X1356" s="526"/>
      <c r="Y1356" s="526"/>
      <c r="Z1356" s="526"/>
      <c r="AA1356" s="526"/>
      <c r="AB1356" s="526"/>
      <c r="AC1356" s="526"/>
      <c r="AD1356" s="526"/>
      <c r="AE1356" s="526"/>
      <c r="AF1356" s="526"/>
      <c r="AG1356" s="526"/>
      <c r="AH1356" s="526"/>
      <c r="AI1356" s="526"/>
      <c r="AJ1356" s="779"/>
    </row>
    <row r="1357" spans="1:36" ht="14">
      <c r="A1357" s="40"/>
      <c r="B1357" s="40"/>
      <c r="C1357" s="124"/>
      <c r="D1357" s="124"/>
      <c r="E1357" s="124"/>
      <c r="F1357" s="42"/>
      <c r="G1357" s="42"/>
      <c r="H1357" s="165"/>
      <c r="I1357" s="166" t="s">
        <v>37</v>
      </c>
      <c r="J1357" s="534">
        <f>SUM(J1355:J1356)</f>
        <v>0</v>
      </c>
      <c r="K1357" s="535">
        <f>SUM(K1355:K1356)</f>
        <v>6300000</v>
      </c>
      <c r="L1357" s="534">
        <f>SUM(L1354:L1356)</f>
        <v>6300000</v>
      </c>
      <c r="M1357" s="534">
        <f t="shared" ref="M1357:T1357" si="1547">SUM(M1354:M1356)</f>
        <v>0</v>
      </c>
      <c r="N1357" s="534">
        <f t="shared" si="1547"/>
        <v>0</v>
      </c>
      <c r="O1357" s="534">
        <f t="shared" si="1547"/>
        <v>0</v>
      </c>
      <c r="P1357" s="534">
        <f t="shared" si="1547"/>
        <v>0</v>
      </c>
      <c r="Q1357" s="534">
        <f t="shared" si="1547"/>
        <v>0</v>
      </c>
      <c r="R1357" s="534">
        <f t="shared" si="1547"/>
        <v>0</v>
      </c>
      <c r="S1357" s="534">
        <f t="shared" si="1547"/>
        <v>0</v>
      </c>
      <c r="T1357" s="534">
        <f t="shared" si="1547"/>
        <v>6300000</v>
      </c>
      <c r="U1357" s="534"/>
      <c r="V1357" s="534"/>
      <c r="W1357" s="534"/>
      <c r="X1357" s="534"/>
      <c r="Y1357" s="534"/>
      <c r="Z1357" s="534">
        <f t="shared" ref="Z1357:AA1357" si="1548">SUM(Z1354:Z1356)</f>
        <v>0</v>
      </c>
      <c r="AA1357" s="534">
        <f t="shared" si="1548"/>
        <v>6300000</v>
      </c>
      <c r="AB1357" s="534"/>
      <c r="AC1357" s="534"/>
      <c r="AD1357" s="534"/>
      <c r="AE1357" s="534">
        <f t="shared" ref="AE1357:AI1357" si="1549">SUM(AE1354:AE1356)</f>
        <v>1380000</v>
      </c>
      <c r="AF1357" s="534"/>
      <c r="AG1357" s="534">
        <f t="shared" si="1549"/>
        <v>1380000</v>
      </c>
      <c r="AH1357" s="534">
        <f t="shared" si="1549"/>
        <v>7680000</v>
      </c>
      <c r="AI1357" s="534">
        <f t="shared" si="1549"/>
        <v>7678920</v>
      </c>
      <c r="AJ1357" s="776">
        <f>AI1357/AH1357*100</f>
        <v>99.985937500000006</v>
      </c>
    </row>
    <row r="1358" spans="1:36" ht="15.5" customHeight="1">
      <c r="A1358" s="40"/>
      <c r="B1358" s="40"/>
      <c r="C1358" s="124"/>
      <c r="D1358" s="124"/>
      <c r="E1358" s="124"/>
      <c r="F1358" s="41"/>
      <c r="G1358" s="41"/>
      <c r="H1358" s="63"/>
      <c r="I1358" s="41"/>
      <c r="J1358" s="536"/>
      <c r="K1358" s="679"/>
      <c r="L1358" s="678"/>
      <c r="M1358" s="678"/>
      <c r="N1358" s="678"/>
      <c r="O1358" s="678"/>
      <c r="P1358" s="678"/>
      <c r="Q1358" s="678"/>
      <c r="R1358" s="678"/>
      <c r="S1358" s="678"/>
      <c r="T1358" s="678"/>
      <c r="U1358" s="678"/>
      <c r="V1358" s="678"/>
      <c r="W1358" s="678"/>
      <c r="X1358" s="678"/>
      <c r="Y1358" s="678"/>
      <c r="Z1358" s="678"/>
      <c r="AA1358" s="678"/>
      <c r="AB1358" s="702"/>
      <c r="AC1358" s="702"/>
      <c r="AD1358" s="702"/>
      <c r="AE1358" s="702"/>
      <c r="AF1358" s="702"/>
      <c r="AG1358" s="702"/>
      <c r="AH1358" s="702"/>
      <c r="AI1358" s="702"/>
      <c r="AJ1358" s="780"/>
    </row>
    <row r="1359" spans="1:36" ht="15.5" customHeight="1">
      <c r="A1359" s="40">
        <v>133</v>
      </c>
      <c r="B1359" s="40"/>
      <c r="C1359" s="124"/>
      <c r="D1359" s="124"/>
      <c r="E1359" s="124"/>
      <c r="F1359" s="522" t="s">
        <v>386</v>
      </c>
      <c r="G1359" s="41"/>
      <c r="H1359" s="63"/>
      <c r="I1359" s="41"/>
      <c r="J1359" s="680"/>
      <c r="K1359" s="679"/>
      <c r="L1359" s="678"/>
      <c r="M1359" s="678"/>
      <c r="N1359" s="678"/>
      <c r="O1359" s="678"/>
      <c r="P1359" s="678"/>
      <c r="Q1359" s="678"/>
      <c r="R1359" s="678"/>
      <c r="S1359" s="678"/>
      <c r="T1359" s="678"/>
      <c r="U1359" s="678"/>
      <c r="V1359" s="678"/>
      <c r="W1359" s="678"/>
      <c r="X1359" s="678"/>
      <c r="Y1359" s="678"/>
      <c r="Z1359" s="678"/>
      <c r="AA1359" s="678"/>
      <c r="AB1359" s="702"/>
      <c r="AC1359" s="702"/>
      <c r="AD1359" s="702"/>
      <c r="AE1359" s="702"/>
      <c r="AF1359" s="702"/>
      <c r="AG1359" s="702"/>
      <c r="AH1359" s="702"/>
      <c r="AI1359" s="702"/>
      <c r="AJ1359" s="780"/>
    </row>
    <row r="1360" spans="1:36" ht="15.5" customHeight="1">
      <c r="A1360" s="40"/>
      <c r="B1360" s="40"/>
      <c r="C1360" s="124">
        <v>1</v>
      </c>
      <c r="D1360" s="124"/>
      <c r="E1360" s="124"/>
      <c r="F1360" s="41"/>
      <c r="G1360" s="41"/>
      <c r="H1360" s="125" t="s">
        <v>35</v>
      </c>
      <c r="I1360" s="66"/>
      <c r="J1360" s="680"/>
      <c r="K1360" s="679"/>
      <c r="L1360" s="678"/>
      <c r="M1360" s="678"/>
      <c r="N1360" s="678"/>
      <c r="O1360" s="678"/>
      <c r="P1360" s="678"/>
      <c r="Q1360" s="678"/>
      <c r="R1360" s="678"/>
      <c r="S1360" s="678"/>
      <c r="T1360" s="678"/>
      <c r="U1360" s="678"/>
      <c r="V1360" s="678"/>
      <c r="W1360" s="678"/>
      <c r="X1360" s="678"/>
      <c r="Y1360" s="678"/>
      <c r="Z1360" s="678"/>
      <c r="AA1360" s="678"/>
      <c r="AB1360" s="702"/>
      <c r="AC1360" s="702"/>
      <c r="AD1360" s="702"/>
      <c r="AE1360" s="702"/>
      <c r="AF1360" s="702"/>
      <c r="AG1360" s="702"/>
      <c r="AH1360" s="702"/>
      <c r="AI1360" s="702"/>
      <c r="AJ1360" s="780"/>
    </row>
    <row r="1361" spans="1:36" ht="15.5" customHeight="1">
      <c r="A1361" s="40"/>
      <c r="B1361" s="40"/>
      <c r="C1361" s="124"/>
      <c r="D1361" s="124">
        <v>3</v>
      </c>
      <c r="E1361" s="124" t="s">
        <v>199</v>
      </c>
      <c r="F1361" s="41"/>
      <c r="G1361" s="41"/>
      <c r="H1361" s="163"/>
      <c r="I1361" s="125" t="s">
        <v>116</v>
      </c>
      <c r="J1361" s="524">
        <v>2000000</v>
      </c>
      <c r="K1361" s="525"/>
      <c r="L1361" s="526">
        <f>SUM(J1361:K1361)</f>
        <v>2000000</v>
      </c>
      <c r="M1361" s="526">
        <v>1619000</v>
      </c>
      <c r="N1361" s="526"/>
      <c r="O1361" s="526"/>
      <c r="P1361" s="526"/>
      <c r="Q1361" s="526"/>
      <c r="R1361" s="526"/>
      <c r="S1361" s="217">
        <f t="shared" ref="S1361" si="1550">SUM(M1361:R1361)</f>
        <v>1619000</v>
      </c>
      <c r="T1361" s="217">
        <f t="shared" ref="T1361" si="1551">S1361+L1361</f>
        <v>3619000</v>
      </c>
      <c r="U1361" s="526"/>
      <c r="V1361" s="526"/>
      <c r="W1361" s="526"/>
      <c r="X1361" s="526"/>
      <c r="Y1361" s="526"/>
      <c r="Z1361" s="217">
        <f>SUM(U1361:Y1361)</f>
        <v>0</v>
      </c>
      <c r="AA1361" s="217">
        <f>Z1361+T1361</f>
        <v>3619000</v>
      </c>
      <c r="AB1361" s="526"/>
      <c r="AC1361" s="526"/>
      <c r="AD1361" s="526"/>
      <c r="AE1361" s="526"/>
      <c r="AF1361" s="526"/>
      <c r="AG1361" s="217">
        <f t="shared" ref="AG1361" si="1552">SUM(AB1361:AF1361)</f>
        <v>0</v>
      </c>
      <c r="AH1361" s="217">
        <f t="shared" ref="AH1361" si="1553">AG1361+AA1361</f>
        <v>3619000</v>
      </c>
      <c r="AI1361" s="217">
        <v>1062000</v>
      </c>
      <c r="AJ1361" s="764">
        <f>AI1361/AH1361*100</f>
        <v>29.345122962144238</v>
      </c>
    </row>
    <row r="1362" spans="1:36" ht="15.5" customHeight="1">
      <c r="A1362" s="40"/>
      <c r="B1362" s="40"/>
      <c r="C1362" s="124"/>
      <c r="D1362" s="124"/>
      <c r="E1362" s="124"/>
      <c r="F1362" s="41"/>
      <c r="G1362" s="41"/>
      <c r="H1362" s="163"/>
      <c r="I1362" s="125"/>
      <c r="J1362" s="524"/>
      <c r="K1362" s="525"/>
      <c r="L1362" s="526"/>
      <c r="M1362" s="526"/>
      <c r="N1362" s="526"/>
      <c r="O1362" s="526"/>
      <c r="P1362" s="526"/>
      <c r="Q1362" s="526"/>
      <c r="R1362" s="526"/>
      <c r="S1362" s="526"/>
      <c r="T1362" s="526"/>
      <c r="U1362" s="526"/>
      <c r="V1362" s="526"/>
      <c r="W1362" s="526"/>
      <c r="X1362" s="526"/>
      <c r="Y1362" s="526"/>
      <c r="Z1362" s="526"/>
      <c r="AA1362" s="526"/>
      <c r="AB1362" s="526"/>
      <c r="AC1362" s="526"/>
      <c r="AD1362" s="526"/>
      <c r="AE1362" s="526"/>
      <c r="AF1362" s="526"/>
      <c r="AG1362" s="526"/>
      <c r="AH1362" s="526"/>
      <c r="AI1362" s="526"/>
      <c r="AJ1362" s="779"/>
    </row>
    <row r="1363" spans="1:36" ht="15.5" customHeight="1">
      <c r="A1363" s="40"/>
      <c r="B1363" s="40"/>
      <c r="C1363" s="124"/>
      <c r="D1363" s="124"/>
      <c r="E1363" s="124"/>
      <c r="F1363" s="42"/>
      <c r="G1363" s="42"/>
      <c r="H1363" s="165"/>
      <c r="I1363" s="166" t="s">
        <v>37</v>
      </c>
      <c r="J1363" s="534">
        <f>SUM(J1361:J1362)</f>
        <v>2000000</v>
      </c>
      <c r="K1363" s="535">
        <f>SUM(K1361:K1362)</f>
        <v>0</v>
      </c>
      <c r="L1363" s="534">
        <f>SUM(L1360:L1362)</f>
        <v>2000000</v>
      </c>
      <c r="M1363" s="534">
        <f t="shared" ref="M1363:T1363" si="1554">SUM(M1360:M1362)</f>
        <v>1619000</v>
      </c>
      <c r="N1363" s="534">
        <f t="shared" si="1554"/>
        <v>0</v>
      </c>
      <c r="O1363" s="534">
        <f t="shared" si="1554"/>
        <v>0</v>
      </c>
      <c r="P1363" s="534">
        <f t="shared" si="1554"/>
        <v>0</v>
      </c>
      <c r="Q1363" s="534">
        <f t="shared" si="1554"/>
        <v>0</v>
      </c>
      <c r="R1363" s="534">
        <f t="shared" si="1554"/>
        <v>0</v>
      </c>
      <c r="S1363" s="534">
        <f t="shared" si="1554"/>
        <v>1619000</v>
      </c>
      <c r="T1363" s="534">
        <f t="shared" si="1554"/>
        <v>3619000</v>
      </c>
      <c r="U1363" s="534"/>
      <c r="V1363" s="534"/>
      <c r="W1363" s="534"/>
      <c r="X1363" s="534"/>
      <c r="Y1363" s="534"/>
      <c r="Z1363" s="534">
        <f t="shared" ref="Z1363:AA1363" si="1555">SUM(Z1360:Z1362)</f>
        <v>0</v>
      </c>
      <c r="AA1363" s="534">
        <f t="shared" si="1555"/>
        <v>3619000</v>
      </c>
      <c r="AB1363" s="534"/>
      <c r="AC1363" s="534"/>
      <c r="AD1363" s="534"/>
      <c r="AE1363" s="534"/>
      <c r="AF1363" s="534"/>
      <c r="AG1363" s="534">
        <f t="shared" ref="AG1363:AI1363" si="1556">SUM(AG1360:AG1362)</f>
        <v>0</v>
      </c>
      <c r="AH1363" s="534">
        <f t="shared" si="1556"/>
        <v>3619000</v>
      </c>
      <c r="AI1363" s="534">
        <f t="shared" si="1556"/>
        <v>1062000</v>
      </c>
      <c r="AJ1363" s="776">
        <f>AI1363/AH1363*100</f>
        <v>29.345122962144238</v>
      </c>
    </row>
    <row r="1364" spans="1:36" ht="14">
      <c r="A1364" s="40"/>
      <c r="B1364" s="40"/>
      <c r="C1364" s="124"/>
      <c r="D1364" s="124"/>
      <c r="E1364" s="124"/>
      <c r="F1364" s="41"/>
      <c r="G1364" s="41"/>
      <c r="H1364" s="163"/>
      <c r="I1364" s="125"/>
      <c r="J1364" s="524"/>
      <c r="K1364" s="525"/>
      <c r="L1364" s="526"/>
      <c r="M1364" s="526"/>
      <c r="N1364" s="526"/>
      <c r="O1364" s="526"/>
      <c r="P1364" s="526"/>
      <c r="Q1364" s="526"/>
      <c r="R1364" s="526"/>
      <c r="S1364" s="526"/>
      <c r="T1364" s="526"/>
      <c r="U1364" s="526"/>
      <c r="V1364" s="526"/>
      <c r="W1364" s="526"/>
      <c r="X1364" s="526"/>
      <c r="Y1364" s="526"/>
      <c r="Z1364" s="526"/>
      <c r="AA1364" s="526"/>
      <c r="AB1364" s="526"/>
      <c r="AC1364" s="526"/>
      <c r="AD1364" s="526"/>
      <c r="AE1364" s="526"/>
      <c r="AF1364" s="526"/>
      <c r="AG1364" s="526"/>
      <c r="AH1364" s="526"/>
      <c r="AI1364" s="526"/>
      <c r="AJ1364" s="779"/>
    </row>
    <row r="1365" spans="1:36" ht="14">
      <c r="A1365" s="40">
        <v>134</v>
      </c>
      <c r="B1365" s="40"/>
      <c r="C1365" s="124"/>
      <c r="D1365" s="124"/>
      <c r="E1365" s="124"/>
      <c r="F1365" s="522" t="s">
        <v>456</v>
      </c>
      <c r="G1365" s="41"/>
      <c r="H1365" s="63"/>
      <c r="I1365" s="41"/>
      <c r="J1365" s="680"/>
      <c r="K1365" s="679"/>
      <c r="L1365" s="678"/>
      <c r="M1365" s="678"/>
      <c r="N1365" s="678"/>
      <c r="O1365" s="678"/>
      <c r="P1365" s="678"/>
      <c r="Q1365" s="678"/>
      <c r="R1365" s="678"/>
      <c r="S1365" s="678"/>
      <c r="T1365" s="678"/>
      <c r="U1365" s="678"/>
      <c r="V1365" s="678"/>
      <c r="W1365" s="678"/>
      <c r="X1365" s="678"/>
      <c r="Y1365" s="678"/>
      <c r="Z1365" s="678"/>
      <c r="AA1365" s="678"/>
      <c r="AB1365" s="702"/>
      <c r="AC1365" s="702"/>
      <c r="AD1365" s="702"/>
      <c r="AE1365" s="702"/>
      <c r="AF1365" s="702"/>
      <c r="AG1365" s="702"/>
      <c r="AH1365" s="702"/>
      <c r="AI1365" s="702"/>
      <c r="AJ1365" s="780"/>
    </row>
    <row r="1366" spans="1:36" ht="14">
      <c r="A1366" s="40"/>
      <c r="B1366" s="40"/>
      <c r="C1366" s="124">
        <v>1</v>
      </c>
      <c r="D1366" s="124"/>
      <c r="E1366" s="124"/>
      <c r="F1366" s="41"/>
      <c r="G1366" s="41"/>
      <c r="H1366" s="125" t="s">
        <v>35</v>
      </c>
      <c r="I1366" s="66"/>
      <c r="J1366" s="680"/>
      <c r="K1366" s="679"/>
      <c r="L1366" s="678"/>
      <c r="M1366" s="678"/>
      <c r="N1366" s="678"/>
      <c r="O1366" s="678"/>
      <c r="P1366" s="678"/>
      <c r="Q1366" s="678"/>
      <c r="R1366" s="678"/>
      <c r="S1366" s="678"/>
      <c r="T1366" s="678"/>
      <c r="U1366" s="678"/>
      <c r="V1366" s="678"/>
      <c r="W1366" s="678"/>
      <c r="X1366" s="678"/>
      <c r="Y1366" s="678"/>
      <c r="Z1366" s="678"/>
      <c r="AA1366" s="678"/>
      <c r="AB1366" s="702"/>
      <c r="AC1366" s="702"/>
      <c r="AD1366" s="702"/>
      <c r="AE1366" s="702"/>
      <c r="AF1366" s="702"/>
      <c r="AG1366" s="702"/>
      <c r="AH1366" s="702"/>
      <c r="AI1366" s="702"/>
      <c r="AJ1366" s="780"/>
    </row>
    <row r="1367" spans="1:36" ht="14">
      <c r="A1367" s="40"/>
      <c r="B1367" s="40"/>
      <c r="C1367" s="124"/>
      <c r="D1367" s="124">
        <v>3</v>
      </c>
      <c r="E1367" s="124" t="s">
        <v>199</v>
      </c>
      <c r="F1367" s="41"/>
      <c r="G1367" s="41"/>
      <c r="H1367" s="163"/>
      <c r="I1367" s="125" t="s">
        <v>116</v>
      </c>
      <c r="J1367" s="524">
        <v>11940480</v>
      </c>
      <c r="K1367" s="525"/>
      <c r="L1367" s="526">
        <f>SUM(J1367:K1367)</f>
        <v>11940480</v>
      </c>
      <c r="M1367" s="526"/>
      <c r="N1367" s="526"/>
      <c r="O1367" s="526"/>
      <c r="P1367" s="526"/>
      <c r="Q1367" s="526"/>
      <c r="R1367" s="526"/>
      <c r="S1367" s="217">
        <f t="shared" ref="S1367:S1369" si="1557">SUM(M1367:R1367)</f>
        <v>0</v>
      </c>
      <c r="T1367" s="217">
        <f t="shared" ref="T1367:T1369" si="1558">S1367+L1367</f>
        <v>11940480</v>
      </c>
      <c r="U1367" s="526"/>
      <c r="V1367" s="526"/>
      <c r="W1367" s="526"/>
      <c r="X1367" s="526"/>
      <c r="Y1367" s="526"/>
      <c r="Z1367" s="217">
        <f>SUM(U1367:Y1367)</f>
        <v>0</v>
      </c>
      <c r="AA1367" s="217">
        <f>Z1367+T1367</f>
        <v>11940480</v>
      </c>
      <c r="AB1367" s="526"/>
      <c r="AC1367" s="526"/>
      <c r="AD1367" s="526"/>
      <c r="AE1367" s="526">
        <v>-43000</v>
      </c>
      <c r="AF1367" s="526"/>
      <c r="AG1367" s="217">
        <f t="shared" ref="AG1367" si="1559">SUM(AB1367:AF1367)</f>
        <v>-43000</v>
      </c>
      <c r="AH1367" s="217">
        <f t="shared" ref="AH1367" si="1560">AG1367+AA1367</f>
        <v>11897480</v>
      </c>
      <c r="AI1367" s="217"/>
      <c r="AJ1367" s="764"/>
    </row>
    <row r="1368" spans="1:36" ht="17" customHeight="1">
      <c r="A1368" s="40"/>
      <c r="B1368" s="40"/>
      <c r="C1368" s="124">
        <v>2</v>
      </c>
      <c r="D1368" s="124"/>
      <c r="E1368" s="124"/>
      <c r="F1368" s="41"/>
      <c r="G1368" s="41"/>
      <c r="H1368" s="162" t="s">
        <v>211</v>
      </c>
      <c r="I1368" s="66"/>
      <c r="J1368" s="524"/>
      <c r="K1368" s="525"/>
      <c r="L1368" s="526"/>
      <c r="M1368" s="526"/>
      <c r="N1368" s="526"/>
      <c r="O1368" s="526"/>
      <c r="P1368" s="526"/>
      <c r="Q1368" s="526"/>
      <c r="R1368" s="526"/>
      <c r="S1368" s="217"/>
      <c r="T1368" s="217"/>
      <c r="U1368" s="526"/>
      <c r="V1368" s="526"/>
      <c r="W1368" s="526"/>
      <c r="X1368" s="526"/>
      <c r="Y1368" s="526"/>
      <c r="Z1368" s="217"/>
      <c r="AA1368" s="217"/>
      <c r="AB1368" s="526"/>
      <c r="AC1368" s="526"/>
      <c r="AD1368" s="526"/>
      <c r="AE1368" s="526"/>
      <c r="AF1368" s="526"/>
      <c r="AG1368" s="217"/>
      <c r="AH1368" s="217"/>
      <c r="AI1368" s="217"/>
      <c r="AJ1368" s="764"/>
    </row>
    <row r="1369" spans="1:36" ht="14">
      <c r="A1369" s="40"/>
      <c r="B1369" s="40"/>
      <c r="C1369" s="124"/>
      <c r="D1369" s="124">
        <v>6</v>
      </c>
      <c r="E1369" s="124" t="s">
        <v>199</v>
      </c>
      <c r="F1369" s="41"/>
      <c r="G1369" s="41"/>
      <c r="H1369" s="163"/>
      <c r="I1369" s="125" t="s">
        <v>213</v>
      </c>
      <c r="J1369" s="524"/>
      <c r="K1369" s="525">
        <v>84224000</v>
      </c>
      <c r="L1369" s="526">
        <f>SUM(J1369:K1369)</f>
        <v>84224000</v>
      </c>
      <c r="M1369" s="526">
        <v>17957894</v>
      </c>
      <c r="N1369" s="526"/>
      <c r="O1369" s="526"/>
      <c r="P1369" s="526"/>
      <c r="Q1369" s="526"/>
      <c r="R1369" s="526"/>
      <c r="S1369" s="217">
        <f t="shared" si="1557"/>
        <v>17957894</v>
      </c>
      <c r="T1369" s="217">
        <f t="shared" si="1558"/>
        <v>102181894</v>
      </c>
      <c r="U1369" s="526"/>
      <c r="V1369" s="526">
        <v>16411200</v>
      </c>
      <c r="W1369" s="526"/>
      <c r="Y1369" s="526"/>
      <c r="Z1369" s="217">
        <f>SUM(U1369:Y1369)</f>
        <v>16411200</v>
      </c>
      <c r="AA1369" s="217">
        <f>Z1369+T1369</f>
        <v>118593094</v>
      </c>
      <c r="AB1369" s="526"/>
      <c r="AC1369" s="526"/>
      <c r="AD1369" s="526"/>
      <c r="AF1369" s="526"/>
      <c r="AG1369" s="217">
        <f t="shared" ref="AG1369" si="1561">SUM(AB1369:AF1369)</f>
        <v>0</v>
      </c>
      <c r="AH1369" s="217">
        <f t="shared" ref="AH1369" si="1562">AG1369+AA1369</f>
        <v>118593094</v>
      </c>
      <c r="AI1369" s="217">
        <v>26129324</v>
      </c>
      <c r="AJ1369" s="764">
        <f>AI1369/AH1369*100</f>
        <v>22.03275344178136</v>
      </c>
    </row>
    <row r="1370" spans="1:36" ht="14">
      <c r="A1370" s="40"/>
      <c r="B1370" s="40"/>
      <c r="C1370" s="124"/>
      <c r="D1370" s="124"/>
      <c r="E1370" s="124"/>
      <c r="F1370" s="41"/>
      <c r="G1370" s="41"/>
      <c r="H1370" s="63"/>
      <c r="I1370" s="41"/>
      <c r="J1370" s="524"/>
      <c r="K1370" s="525"/>
      <c r="L1370" s="526"/>
      <c r="M1370" s="526"/>
      <c r="N1370" s="526"/>
      <c r="O1370" s="526"/>
      <c r="P1370" s="526"/>
      <c r="Q1370" s="526"/>
      <c r="R1370" s="526"/>
      <c r="S1370" s="526"/>
      <c r="T1370" s="526"/>
      <c r="U1370" s="526"/>
      <c r="V1370" s="526"/>
      <c r="W1370" s="526"/>
      <c r="X1370" s="526"/>
      <c r="Y1370" s="526"/>
      <c r="Z1370" s="526"/>
      <c r="AA1370" s="526"/>
      <c r="AB1370" s="526"/>
      <c r="AC1370" s="526"/>
      <c r="AD1370" s="526"/>
      <c r="AE1370" s="526"/>
      <c r="AF1370" s="526"/>
      <c r="AG1370" s="526"/>
      <c r="AH1370" s="526"/>
      <c r="AI1370" s="526"/>
      <c r="AJ1370" s="779"/>
    </row>
    <row r="1371" spans="1:36" ht="14">
      <c r="A1371" s="40"/>
      <c r="B1371" s="40"/>
      <c r="C1371" s="124"/>
      <c r="D1371" s="124"/>
      <c r="E1371" s="124"/>
      <c r="F1371" s="42"/>
      <c r="G1371" s="42"/>
      <c r="H1371" s="165"/>
      <c r="I1371" s="166" t="s">
        <v>37</v>
      </c>
      <c r="J1371" s="534">
        <f>SUM(J1367:J1370)</f>
        <v>11940480</v>
      </c>
      <c r="K1371" s="535">
        <f>SUM(K1367:K1370)</f>
        <v>84224000</v>
      </c>
      <c r="L1371" s="534">
        <f>SUM(L1366:L1370)</f>
        <v>96164480</v>
      </c>
      <c r="M1371" s="534">
        <f t="shared" ref="M1371:T1371" si="1563">SUM(M1366:M1370)</f>
        <v>17957894</v>
      </c>
      <c r="N1371" s="534">
        <f t="shared" si="1563"/>
        <v>0</v>
      </c>
      <c r="O1371" s="534">
        <f t="shared" si="1563"/>
        <v>0</v>
      </c>
      <c r="P1371" s="534">
        <f t="shared" si="1563"/>
        <v>0</v>
      </c>
      <c r="Q1371" s="534">
        <f t="shared" si="1563"/>
        <v>0</v>
      </c>
      <c r="R1371" s="534">
        <f t="shared" si="1563"/>
        <v>0</v>
      </c>
      <c r="S1371" s="534">
        <f t="shared" si="1563"/>
        <v>17957894</v>
      </c>
      <c r="T1371" s="534">
        <f t="shared" si="1563"/>
        <v>114122374</v>
      </c>
      <c r="U1371" s="534"/>
      <c r="V1371" s="534">
        <f t="shared" ref="V1371:AA1371" si="1564">SUM(V1366:V1370)</f>
        <v>16411200</v>
      </c>
      <c r="W1371" s="534"/>
      <c r="X1371" s="534"/>
      <c r="Y1371" s="534"/>
      <c r="Z1371" s="534">
        <f t="shared" si="1564"/>
        <v>16411200</v>
      </c>
      <c r="AA1371" s="534">
        <f t="shared" si="1564"/>
        <v>130533574</v>
      </c>
      <c r="AB1371" s="534"/>
      <c r="AC1371" s="534">
        <f t="shared" ref="AC1371" si="1565">SUM(AC1366:AC1370)</f>
        <v>0</v>
      </c>
      <c r="AD1371" s="534"/>
      <c r="AE1371" s="534">
        <f t="shared" ref="AE1371:AI1371" si="1566">SUM(AE1366:AE1370)</f>
        <v>-43000</v>
      </c>
      <c r="AF1371" s="534"/>
      <c r="AG1371" s="534">
        <f t="shared" si="1566"/>
        <v>-43000</v>
      </c>
      <c r="AH1371" s="534">
        <f t="shared" si="1566"/>
        <v>130490574</v>
      </c>
      <c r="AI1371" s="534">
        <f t="shared" si="1566"/>
        <v>26129324</v>
      </c>
      <c r="AJ1371" s="776">
        <f>AI1371/AH1371*100</f>
        <v>20.023916823294837</v>
      </c>
    </row>
    <row r="1372" spans="1:36" ht="14">
      <c r="A1372" s="40"/>
      <c r="B1372" s="40"/>
      <c r="C1372" s="124"/>
      <c r="D1372" s="124"/>
      <c r="E1372" s="124"/>
      <c r="F1372" s="41"/>
      <c r="G1372" s="41"/>
      <c r="H1372" s="163"/>
      <c r="I1372" s="125"/>
      <c r="J1372" s="524"/>
      <c r="K1372" s="525"/>
      <c r="L1372" s="526"/>
      <c r="M1372" s="526"/>
      <c r="N1372" s="526"/>
      <c r="O1372" s="526"/>
      <c r="P1372" s="526"/>
      <c r="Q1372" s="526"/>
      <c r="R1372" s="526"/>
      <c r="S1372" s="526"/>
      <c r="T1372" s="526"/>
      <c r="U1372" s="526"/>
      <c r="V1372" s="526"/>
      <c r="W1372" s="526"/>
      <c r="X1372" s="526"/>
      <c r="Y1372" s="526"/>
      <c r="Z1372" s="526"/>
      <c r="AA1372" s="526"/>
      <c r="AB1372" s="526"/>
      <c r="AC1372" s="526"/>
      <c r="AD1372" s="526"/>
      <c r="AE1372" s="526"/>
      <c r="AF1372" s="526"/>
      <c r="AG1372" s="526"/>
      <c r="AH1372" s="526"/>
      <c r="AI1372" s="526"/>
      <c r="AJ1372" s="779"/>
    </row>
    <row r="1373" spans="1:36" ht="14">
      <c r="A1373" s="40">
        <v>135</v>
      </c>
      <c r="B1373" s="40"/>
      <c r="C1373" s="124"/>
      <c r="D1373" s="124"/>
      <c r="E1373" s="124"/>
      <c r="F1373" s="522" t="s">
        <v>596</v>
      </c>
      <c r="G1373" s="41"/>
      <c r="H1373" s="63"/>
      <c r="I1373" s="41"/>
      <c r="J1373" s="680"/>
      <c r="K1373" s="679"/>
      <c r="L1373" s="678"/>
      <c r="M1373" s="678"/>
      <c r="N1373" s="678"/>
      <c r="O1373" s="678"/>
      <c r="P1373" s="678"/>
      <c r="Q1373" s="678"/>
      <c r="R1373" s="678"/>
      <c r="S1373" s="678"/>
      <c r="T1373" s="678"/>
      <c r="U1373" s="678"/>
      <c r="V1373" s="678"/>
      <c r="W1373" s="678"/>
      <c r="X1373" s="678"/>
      <c r="Y1373" s="678"/>
      <c r="Z1373" s="678"/>
      <c r="AA1373" s="678"/>
      <c r="AB1373" s="702"/>
      <c r="AC1373" s="702"/>
      <c r="AD1373" s="702"/>
      <c r="AE1373" s="702"/>
      <c r="AF1373" s="702"/>
      <c r="AG1373" s="702"/>
      <c r="AH1373" s="702"/>
      <c r="AI1373" s="702"/>
      <c r="AJ1373" s="780"/>
    </row>
    <row r="1374" spans="1:36" ht="14">
      <c r="A1374" s="40"/>
      <c r="B1374" s="40"/>
      <c r="C1374" s="124">
        <v>1</v>
      </c>
      <c r="D1374" s="124"/>
      <c r="E1374" s="124"/>
      <c r="F1374" s="41"/>
      <c r="G1374" s="41"/>
      <c r="H1374" s="125" t="s">
        <v>35</v>
      </c>
      <c r="I1374" s="66"/>
      <c r="J1374" s="680"/>
      <c r="K1374" s="679"/>
      <c r="L1374" s="678"/>
      <c r="M1374" s="678"/>
      <c r="N1374" s="678"/>
      <c r="O1374" s="678"/>
      <c r="P1374" s="678"/>
      <c r="Q1374" s="678"/>
      <c r="R1374" s="678"/>
      <c r="S1374" s="678"/>
      <c r="T1374" s="678"/>
      <c r="U1374" s="678"/>
      <c r="V1374" s="678"/>
      <c r="W1374" s="678"/>
      <c r="X1374" s="678"/>
      <c r="Y1374" s="678"/>
      <c r="Z1374" s="678"/>
      <c r="AA1374" s="678"/>
      <c r="AB1374" s="702"/>
      <c r="AC1374" s="702"/>
      <c r="AD1374" s="702"/>
      <c r="AE1374" s="702"/>
      <c r="AF1374" s="702"/>
      <c r="AG1374" s="702"/>
      <c r="AH1374" s="702"/>
      <c r="AI1374" s="702"/>
      <c r="AJ1374" s="780"/>
    </row>
    <row r="1375" spans="1:36" ht="14">
      <c r="A1375" s="40"/>
      <c r="B1375" s="40"/>
      <c r="C1375" s="124"/>
      <c r="D1375" s="124">
        <v>3</v>
      </c>
      <c r="E1375" s="124" t="s">
        <v>199</v>
      </c>
      <c r="F1375" s="41"/>
      <c r="G1375" s="41"/>
      <c r="H1375" s="163"/>
      <c r="I1375" s="125" t="s">
        <v>116</v>
      </c>
      <c r="J1375" s="524">
        <v>11940480</v>
      </c>
      <c r="K1375" s="525"/>
      <c r="L1375" s="526"/>
      <c r="M1375" s="526"/>
      <c r="N1375" s="526"/>
      <c r="O1375" s="526">
        <v>149930314</v>
      </c>
      <c r="P1375" s="526"/>
      <c r="Q1375" s="526"/>
      <c r="R1375" s="526"/>
      <c r="S1375" s="217">
        <f t="shared" ref="S1375" si="1567">SUM(M1375:R1375)</f>
        <v>149930314</v>
      </c>
      <c r="T1375" s="217">
        <f t="shared" ref="T1375" si="1568">S1375+L1375</f>
        <v>149930314</v>
      </c>
      <c r="U1375" s="526"/>
      <c r="V1375" s="526"/>
      <c r="W1375" s="526"/>
      <c r="X1375" s="526">
        <v>698400</v>
      </c>
      <c r="Y1375" s="526"/>
      <c r="Z1375" s="217">
        <f>SUM(U1375:Y1375)</f>
        <v>698400</v>
      </c>
      <c r="AA1375" s="217">
        <f>Z1375+T1375</f>
        <v>150628714</v>
      </c>
      <c r="AB1375" s="526"/>
      <c r="AC1375" s="526"/>
      <c r="AD1375" s="526"/>
      <c r="AE1375" s="526">
        <v>575400</v>
      </c>
      <c r="AF1375" s="526"/>
      <c r="AG1375" s="217">
        <f t="shared" ref="AG1375" si="1569">SUM(AB1375:AF1375)</f>
        <v>575400</v>
      </c>
      <c r="AH1375" s="217">
        <f t="shared" ref="AH1375" si="1570">AG1375+AA1375</f>
        <v>151204114</v>
      </c>
      <c r="AI1375" s="217">
        <v>151204114</v>
      </c>
      <c r="AJ1375" s="764">
        <f>AI1375/AH1375*100</f>
        <v>100</v>
      </c>
    </row>
    <row r="1376" spans="1:36" ht="5.5" customHeight="1">
      <c r="A1376" s="40"/>
      <c r="B1376" s="40"/>
      <c r="C1376" s="124"/>
      <c r="D1376" s="124"/>
      <c r="E1376" s="124"/>
      <c r="F1376" s="41"/>
      <c r="G1376" s="41"/>
      <c r="H1376" s="63"/>
      <c r="I1376" s="41"/>
      <c r="J1376" s="680"/>
      <c r="K1376" s="679"/>
      <c r="L1376" s="678"/>
      <c r="M1376" s="678"/>
      <c r="N1376" s="678"/>
      <c r="O1376" s="678"/>
      <c r="P1376" s="678"/>
      <c r="Q1376" s="678"/>
      <c r="R1376" s="678"/>
      <c r="S1376" s="678"/>
      <c r="T1376" s="678"/>
      <c r="U1376" s="678"/>
      <c r="V1376" s="678"/>
      <c r="W1376" s="678"/>
      <c r="X1376" s="678"/>
      <c r="Y1376" s="678"/>
      <c r="Z1376" s="678"/>
      <c r="AA1376" s="678"/>
      <c r="AB1376" s="702"/>
      <c r="AC1376" s="702"/>
      <c r="AD1376" s="702"/>
      <c r="AE1376" s="702"/>
      <c r="AF1376" s="702"/>
      <c r="AG1376" s="702"/>
      <c r="AH1376" s="702"/>
      <c r="AI1376" s="702"/>
      <c r="AJ1376" s="780"/>
    </row>
    <row r="1377" spans="1:36" ht="14">
      <c r="A1377" s="40"/>
      <c r="B1377" s="40"/>
      <c r="C1377" s="124"/>
      <c r="D1377" s="124"/>
      <c r="E1377" s="124"/>
      <c r="F1377" s="42"/>
      <c r="G1377" s="42"/>
      <c r="H1377" s="165"/>
      <c r="I1377" s="166" t="s">
        <v>37</v>
      </c>
      <c r="J1377" s="534">
        <f>SUM(J1373:J1376)</f>
        <v>11940480</v>
      </c>
      <c r="K1377" s="535">
        <f>SUM(K1373:K1376)</f>
        <v>0</v>
      </c>
      <c r="L1377" s="534">
        <f>SUM(L1372:L1376)</f>
        <v>0</v>
      </c>
      <c r="M1377" s="534">
        <f t="shared" ref="M1377:T1377" si="1571">SUM(M1372:M1376)</f>
        <v>0</v>
      </c>
      <c r="N1377" s="534">
        <f t="shared" si="1571"/>
        <v>0</v>
      </c>
      <c r="O1377" s="534">
        <f t="shared" si="1571"/>
        <v>149930314</v>
      </c>
      <c r="P1377" s="534">
        <f t="shared" si="1571"/>
        <v>0</v>
      </c>
      <c r="Q1377" s="534">
        <f t="shared" si="1571"/>
        <v>0</v>
      </c>
      <c r="R1377" s="534">
        <f t="shared" si="1571"/>
        <v>0</v>
      </c>
      <c r="S1377" s="534">
        <f t="shared" si="1571"/>
        <v>149930314</v>
      </c>
      <c r="T1377" s="534">
        <f t="shared" si="1571"/>
        <v>149930314</v>
      </c>
      <c r="U1377" s="534"/>
      <c r="V1377" s="534"/>
      <c r="W1377" s="534"/>
      <c r="X1377" s="534">
        <f t="shared" ref="X1377:AA1377" si="1572">SUM(X1372:X1376)</f>
        <v>698400</v>
      </c>
      <c r="Y1377" s="534"/>
      <c r="Z1377" s="534">
        <f t="shared" si="1572"/>
        <v>698400</v>
      </c>
      <c r="AA1377" s="534">
        <f t="shared" si="1572"/>
        <v>150628714</v>
      </c>
      <c r="AB1377" s="534"/>
      <c r="AC1377" s="534"/>
      <c r="AD1377" s="534"/>
      <c r="AE1377" s="534">
        <f t="shared" ref="AE1377" si="1573">SUM(AE1372:AE1376)</f>
        <v>575400</v>
      </c>
      <c r="AF1377" s="534"/>
      <c r="AG1377" s="534">
        <f t="shared" ref="AG1377:AI1377" si="1574">SUM(AG1372:AG1376)</f>
        <v>575400</v>
      </c>
      <c r="AH1377" s="534">
        <f t="shared" si="1574"/>
        <v>151204114</v>
      </c>
      <c r="AI1377" s="534">
        <f t="shared" si="1574"/>
        <v>151204114</v>
      </c>
      <c r="AJ1377" s="776">
        <f>AI1377/AH1377*100</f>
        <v>100</v>
      </c>
    </row>
    <row r="1378" spans="1:36" ht="14">
      <c r="A1378" s="40"/>
      <c r="B1378" s="40"/>
      <c r="C1378" s="124"/>
      <c r="D1378" s="124"/>
      <c r="E1378" s="124"/>
      <c r="F1378" s="41"/>
      <c r="G1378" s="41"/>
      <c r="H1378" s="163"/>
      <c r="I1378" s="125"/>
      <c r="J1378" s="524"/>
      <c r="K1378" s="525"/>
      <c r="L1378" s="526"/>
      <c r="M1378" s="526"/>
      <c r="N1378" s="526"/>
      <c r="O1378" s="526"/>
      <c r="P1378" s="526"/>
      <c r="Q1378" s="526"/>
      <c r="R1378" s="526"/>
      <c r="S1378" s="526"/>
      <c r="T1378" s="526"/>
      <c r="U1378" s="526"/>
      <c r="V1378" s="526"/>
      <c r="W1378" s="526"/>
      <c r="X1378" s="526"/>
      <c r="Y1378" s="526"/>
      <c r="Z1378" s="526"/>
      <c r="AA1378" s="526"/>
      <c r="AB1378" s="526"/>
      <c r="AC1378" s="526"/>
      <c r="AD1378" s="526"/>
      <c r="AE1378" s="526"/>
      <c r="AF1378" s="526"/>
      <c r="AG1378" s="526"/>
      <c r="AH1378" s="526"/>
      <c r="AI1378" s="526"/>
      <c r="AJ1378" s="779"/>
    </row>
    <row r="1379" spans="1:36" ht="14">
      <c r="A1379" s="40">
        <v>136</v>
      </c>
      <c r="B1379" s="40"/>
      <c r="C1379" s="124"/>
      <c r="D1379" s="124"/>
      <c r="E1379" s="124"/>
      <c r="F1379" s="522" t="s">
        <v>558</v>
      </c>
      <c r="G1379" s="41"/>
      <c r="H1379" s="63"/>
      <c r="I1379" s="41"/>
      <c r="J1379" s="680"/>
      <c r="K1379" s="679"/>
      <c r="L1379" s="678"/>
      <c r="M1379" s="678"/>
      <c r="N1379" s="678"/>
      <c r="O1379" s="678"/>
      <c r="P1379" s="678"/>
      <c r="Q1379" s="678"/>
      <c r="R1379" s="678"/>
      <c r="S1379" s="678"/>
      <c r="T1379" s="678"/>
      <c r="U1379" s="678"/>
      <c r="V1379" s="678"/>
      <c r="W1379" s="678"/>
      <c r="X1379" s="678"/>
      <c r="Y1379" s="678"/>
      <c r="Z1379" s="678"/>
      <c r="AA1379" s="678"/>
      <c r="AB1379" s="702"/>
      <c r="AC1379" s="702"/>
      <c r="AD1379" s="702"/>
      <c r="AE1379" s="702"/>
      <c r="AF1379" s="702"/>
      <c r="AG1379" s="702"/>
      <c r="AH1379" s="702"/>
      <c r="AI1379" s="702"/>
      <c r="AJ1379" s="780"/>
    </row>
    <row r="1380" spans="1:36" ht="14">
      <c r="A1380" s="40"/>
      <c r="B1380" s="40"/>
      <c r="C1380" s="124">
        <v>2</v>
      </c>
      <c r="D1380" s="124"/>
      <c r="E1380" s="124"/>
      <c r="F1380" s="41"/>
      <c r="G1380" s="41"/>
      <c r="H1380" s="162" t="s">
        <v>211</v>
      </c>
      <c r="I1380" s="66"/>
      <c r="J1380" s="680"/>
      <c r="K1380" s="679"/>
      <c r="L1380" s="678"/>
      <c r="M1380" s="678"/>
      <c r="N1380" s="678"/>
      <c r="O1380" s="678"/>
      <c r="P1380" s="678"/>
      <c r="Q1380" s="678"/>
      <c r="R1380" s="678"/>
      <c r="S1380" s="678"/>
      <c r="T1380" s="678"/>
      <c r="U1380" s="678"/>
      <c r="V1380" s="678"/>
      <c r="W1380" s="678"/>
      <c r="X1380" s="678"/>
      <c r="Y1380" s="678"/>
      <c r="Z1380" s="678"/>
      <c r="AA1380" s="678"/>
      <c r="AB1380" s="702"/>
      <c r="AC1380" s="702"/>
      <c r="AD1380" s="702"/>
      <c r="AE1380" s="702"/>
      <c r="AF1380" s="702"/>
      <c r="AG1380" s="702"/>
      <c r="AH1380" s="702"/>
      <c r="AI1380" s="702"/>
      <c r="AJ1380" s="780"/>
    </row>
    <row r="1381" spans="1:36" ht="14">
      <c r="A1381" s="40"/>
      <c r="B1381" s="40"/>
      <c r="C1381" s="124"/>
      <c r="D1381" s="124">
        <v>6</v>
      </c>
      <c r="E1381" s="124" t="s">
        <v>199</v>
      </c>
      <c r="F1381" s="41"/>
      <c r="G1381" s="41"/>
      <c r="H1381" s="163"/>
      <c r="I1381" s="125" t="s">
        <v>213</v>
      </c>
      <c r="J1381" s="524">
        <v>11940480</v>
      </c>
      <c r="K1381" s="525"/>
      <c r="L1381" s="526"/>
      <c r="M1381" s="526">
        <v>20634566</v>
      </c>
      <c r="N1381" s="526"/>
      <c r="O1381" s="526"/>
      <c r="P1381" s="526"/>
      <c r="Q1381" s="526"/>
      <c r="R1381" s="526"/>
      <c r="S1381" s="217">
        <f t="shared" ref="S1381" si="1575">SUM(M1381:R1381)</f>
        <v>20634566</v>
      </c>
      <c r="T1381" s="217">
        <f t="shared" ref="T1381" si="1576">S1381+L1381</f>
        <v>20634566</v>
      </c>
      <c r="U1381" s="526"/>
      <c r="V1381" s="526"/>
      <c r="W1381" s="526"/>
      <c r="X1381" s="526"/>
      <c r="Y1381" s="526"/>
      <c r="Z1381" s="217">
        <f>SUM(U1381:Y1381)</f>
        <v>0</v>
      </c>
      <c r="AA1381" s="217">
        <f>Z1381+T1381</f>
        <v>20634566</v>
      </c>
      <c r="AB1381" s="526"/>
      <c r="AC1381" s="526"/>
      <c r="AD1381" s="526"/>
      <c r="AE1381" s="526"/>
      <c r="AF1381" s="526"/>
      <c r="AG1381" s="217">
        <f t="shared" ref="AG1381" si="1577">SUM(AB1381:AF1381)</f>
        <v>0</v>
      </c>
      <c r="AH1381" s="217">
        <f t="shared" ref="AH1381" si="1578">AG1381+AA1381</f>
        <v>20634566</v>
      </c>
      <c r="AI1381" s="217">
        <v>16500000</v>
      </c>
      <c r="AJ1381" s="764">
        <f>AI1381/AH1381*100</f>
        <v>79.962912716458391</v>
      </c>
    </row>
    <row r="1382" spans="1:36" ht="14">
      <c r="A1382" s="40"/>
      <c r="B1382" s="40"/>
      <c r="C1382" s="124"/>
      <c r="D1382" s="124"/>
      <c r="E1382" s="124"/>
      <c r="F1382" s="41"/>
      <c r="G1382" s="41"/>
      <c r="H1382" s="63"/>
      <c r="I1382" s="41"/>
      <c r="J1382" s="680"/>
      <c r="K1382" s="679"/>
      <c r="L1382" s="678"/>
      <c r="M1382" s="678"/>
      <c r="N1382" s="678"/>
      <c r="O1382" s="678"/>
      <c r="P1382" s="678"/>
      <c r="Q1382" s="678"/>
      <c r="R1382" s="678"/>
      <c r="S1382" s="526"/>
      <c r="T1382" s="526"/>
      <c r="U1382" s="678"/>
      <c r="V1382" s="678"/>
      <c r="W1382" s="678"/>
      <c r="X1382" s="678"/>
      <c r="Y1382" s="678"/>
      <c r="Z1382" s="526"/>
      <c r="AA1382" s="526"/>
      <c r="AB1382" s="702"/>
      <c r="AC1382" s="702"/>
      <c r="AD1382" s="702"/>
      <c r="AE1382" s="702"/>
      <c r="AF1382" s="702"/>
      <c r="AG1382" s="526"/>
      <c r="AH1382" s="526"/>
      <c r="AI1382" s="526"/>
      <c r="AJ1382" s="779"/>
    </row>
    <row r="1383" spans="1:36" ht="14">
      <c r="A1383" s="40"/>
      <c r="B1383" s="40"/>
      <c r="C1383" s="124"/>
      <c r="D1383" s="124"/>
      <c r="E1383" s="124"/>
      <c r="F1383" s="42"/>
      <c r="G1383" s="42"/>
      <c r="H1383" s="165"/>
      <c r="I1383" s="166" t="s">
        <v>37</v>
      </c>
      <c r="J1383" s="534">
        <f>SUM(J1379:J1382)</f>
        <v>11940480</v>
      </c>
      <c r="K1383" s="535">
        <f>SUM(K1379:K1382)</f>
        <v>0</v>
      </c>
      <c r="L1383" s="534">
        <f>SUM(L1378:L1382)</f>
        <v>0</v>
      </c>
      <c r="M1383" s="534">
        <f t="shared" ref="M1383:T1383" si="1579">SUM(M1378:M1382)</f>
        <v>20634566</v>
      </c>
      <c r="N1383" s="534">
        <f t="shared" si="1579"/>
        <v>0</v>
      </c>
      <c r="O1383" s="534">
        <f t="shared" si="1579"/>
        <v>0</v>
      </c>
      <c r="P1383" s="534">
        <f t="shared" si="1579"/>
        <v>0</v>
      </c>
      <c r="Q1383" s="534">
        <f t="shared" si="1579"/>
        <v>0</v>
      </c>
      <c r="R1383" s="534">
        <f t="shared" si="1579"/>
        <v>0</v>
      </c>
      <c r="S1383" s="534">
        <f t="shared" si="1579"/>
        <v>20634566</v>
      </c>
      <c r="T1383" s="534">
        <f t="shared" si="1579"/>
        <v>20634566</v>
      </c>
      <c r="U1383" s="534"/>
      <c r="V1383" s="534"/>
      <c r="W1383" s="534"/>
      <c r="X1383" s="534"/>
      <c r="Y1383" s="534"/>
      <c r="Z1383" s="534">
        <f t="shared" ref="Z1383:AA1383" si="1580">SUM(Z1378:Z1382)</f>
        <v>0</v>
      </c>
      <c r="AA1383" s="534">
        <f t="shared" si="1580"/>
        <v>20634566</v>
      </c>
      <c r="AB1383" s="534"/>
      <c r="AC1383" s="534"/>
      <c r="AD1383" s="534"/>
      <c r="AE1383" s="534"/>
      <c r="AF1383" s="534"/>
      <c r="AG1383" s="534">
        <f t="shared" ref="AG1383:AI1383" si="1581">SUM(AG1378:AG1382)</f>
        <v>0</v>
      </c>
      <c r="AH1383" s="534">
        <f t="shared" si="1581"/>
        <v>20634566</v>
      </c>
      <c r="AI1383" s="534">
        <f t="shared" si="1581"/>
        <v>16500000</v>
      </c>
      <c r="AJ1383" s="776">
        <f>AI1383/AH1383*100</f>
        <v>79.962912716458391</v>
      </c>
    </row>
    <row r="1384" spans="1:36" ht="14">
      <c r="A1384" s="40"/>
      <c r="B1384" s="40"/>
      <c r="C1384" s="124"/>
      <c r="D1384" s="124"/>
      <c r="E1384" s="124"/>
      <c r="F1384" s="41"/>
      <c r="G1384" s="41"/>
      <c r="H1384" s="163"/>
      <c r="I1384" s="125"/>
      <c r="J1384" s="524"/>
      <c r="K1384" s="525"/>
      <c r="L1384" s="526"/>
      <c r="M1384" s="526"/>
      <c r="N1384" s="526"/>
      <c r="O1384" s="526"/>
      <c r="P1384" s="526"/>
      <c r="Q1384" s="526"/>
      <c r="R1384" s="526"/>
      <c r="S1384" s="526"/>
      <c r="T1384" s="526"/>
      <c r="U1384" s="526"/>
      <c r="V1384" s="526"/>
      <c r="W1384" s="526"/>
      <c r="X1384" s="526"/>
      <c r="Y1384" s="526"/>
      <c r="Z1384" s="526"/>
      <c r="AA1384" s="526"/>
      <c r="AB1384" s="526"/>
      <c r="AC1384" s="526"/>
      <c r="AD1384" s="526"/>
      <c r="AE1384" s="526"/>
      <c r="AF1384" s="526"/>
      <c r="AG1384" s="526"/>
      <c r="AH1384" s="526"/>
      <c r="AI1384" s="526"/>
      <c r="AJ1384" s="779"/>
    </row>
    <row r="1385" spans="1:36" ht="27.5" customHeight="1">
      <c r="A1385" s="40">
        <v>137</v>
      </c>
      <c r="B1385" s="40"/>
      <c r="C1385" s="124"/>
      <c r="D1385" s="124"/>
      <c r="E1385" s="124"/>
      <c r="F1385" s="955" t="s">
        <v>597</v>
      </c>
      <c r="G1385" s="939"/>
      <c r="H1385" s="939"/>
      <c r="I1385" s="956"/>
      <c r="J1385" s="680"/>
      <c r="K1385" s="679"/>
      <c r="L1385" s="678"/>
      <c r="M1385" s="678"/>
      <c r="N1385" s="678"/>
      <c r="O1385" s="678"/>
      <c r="P1385" s="678"/>
      <c r="Q1385" s="678"/>
      <c r="R1385" s="678"/>
      <c r="S1385" s="678"/>
      <c r="T1385" s="678"/>
      <c r="U1385" s="678"/>
      <c r="V1385" s="678"/>
      <c r="W1385" s="678"/>
      <c r="X1385" s="678"/>
      <c r="Y1385" s="678"/>
      <c r="Z1385" s="678"/>
      <c r="AA1385" s="678"/>
      <c r="AB1385" s="702"/>
      <c r="AC1385" s="702"/>
      <c r="AD1385" s="702"/>
      <c r="AE1385" s="702"/>
      <c r="AF1385" s="702"/>
      <c r="AG1385" s="702"/>
      <c r="AH1385" s="702"/>
      <c r="AI1385" s="702"/>
      <c r="AJ1385" s="780"/>
    </row>
    <row r="1386" spans="1:36" ht="14">
      <c r="A1386" s="40"/>
      <c r="B1386" s="40"/>
      <c r="C1386" s="124">
        <v>2</v>
      </c>
      <c r="D1386" s="124"/>
      <c r="E1386" s="124"/>
      <c r="F1386" s="41"/>
      <c r="G1386" s="41"/>
      <c r="H1386" s="162" t="s">
        <v>211</v>
      </c>
      <c r="I1386" s="66"/>
      <c r="J1386" s="680"/>
      <c r="K1386" s="679"/>
      <c r="L1386" s="678"/>
      <c r="M1386" s="678"/>
      <c r="N1386" s="678"/>
      <c r="O1386" s="678"/>
      <c r="P1386" s="678"/>
      <c r="Q1386" s="678"/>
      <c r="R1386" s="678"/>
      <c r="S1386" s="678"/>
      <c r="T1386" s="678"/>
      <c r="U1386" s="678"/>
      <c r="V1386" s="678"/>
      <c r="W1386" s="678"/>
      <c r="X1386" s="678"/>
      <c r="Y1386" s="678"/>
      <c r="Z1386" s="678"/>
      <c r="AA1386" s="678"/>
      <c r="AB1386" s="702"/>
      <c r="AC1386" s="702"/>
      <c r="AD1386" s="702"/>
      <c r="AE1386" s="702"/>
      <c r="AF1386" s="702"/>
      <c r="AG1386" s="702"/>
      <c r="AH1386" s="702"/>
      <c r="AI1386" s="702"/>
      <c r="AJ1386" s="780"/>
    </row>
    <row r="1387" spans="1:36" ht="14">
      <c r="A1387" s="40"/>
      <c r="B1387" s="40"/>
      <c r="C1387" s="124"/>
      <c r="D1387" s="124">
        <v>6</v>
      </c>
      <c r="E1387" s="124" t="s">
        <v>199</v>
      </c>
      <c r="F1387" s="41"/>
      <c r="G1387" s="41"/>
      <c r="H1387" s="163"/>
      <c r="I1387" s="125" t="s">
        <v>213</v>
      </c>
      <c r="J1387" s="524">
        <v>11940480</v>
      </c>
      <c r="K1387" s="525"/>
      <c r="L1387" s="526"/>
      <c r="M1387" s="526">
        <v>1800225</v>
      </c>
      <c r="N1387" s="526"/>
      <c r="O1387" s="526"/>
      <c r="P1387" s="526"/>
      <c r="Q1387" s="526"/>
      <c r="R1387" s="526"/>
      <c r="S1387" s="217">
        <f t="shared" ref="S1387" si="1582">SUM(M1387:R1387)</f>
        <v>1800225</v>
      </c>
      <c r="T1387" s="217">
        <f t="shared" ref="T1387" si="1583">S1387+L1387</f>
        <v>1800225</v>
      </c>
      <c r="U1387" s="526"/>
      <c r="V1387" s="526"/>
      <c r="W1387" s="526"/>
      <c r="X1387" s="526"/>
      <c r="Y1387" s="526"/>
      <c r="Z1387" s="217">
        <f>SUM(U1387:Y1387)</f>
        <v>0</v>
      </c>
      <c r="AA1387" s="217">
        <f>Z1387+T1387</f>
        <v>1800225</v>
      </c>
      <c r="AB1387" s="526"/>
      <c r="AC1387" s="526"/>
      <c r="AD1387" s="526"/>
      <c r="AE1387" s="526"/>
      <c r="AF1387" s="526"/>
      <c r="AG1387" s="217">
        <f t="shared" ref="AG1387" si="1584">SUM(AB1387:AF1387)</f>
        <v>0</v>
      </c>
      <c r="AH1387" s="217">
        <f t="shared" ref="AH1387" si="1585">AG1387+AA1387</f>
        <v>1800225</v>
      </c>
      <c r="AI1387" s="217"/>
      <c r="AJ1387" s="764"/>
    </row>
    <row r="1388" spans="1:36" ht="14">
      <c r="A1388" s="40"/>
      <c r="B1388" s="40"/>
      <c r="C1388" s="124"/>
      <c r="D1388" s="124"/>
      <c r="E1388" s="124"/>
      <c r="F1388" s="41"/>
      <c r="G1388" s="41"/>
      <c r="H1388" s="63"/>
      <c r="I1388" s="41"/>
      <c r="J1388" s="680"/>
      <c r="K1388" s="679"/>
      <c r="L1388" s="678"/>
      <c r="M1388" s="678"/>
      <c r="N1388" s="678"/>
      <c r="O1388" s="678"/>
      <c r="P1388" s="678"/>
      <c r="Q1388" s="678"/>
      <c r="R1388" s="678"/>
      <c r="S1388" s="526"/>
      <c r="T1388" s="526"/>
      <c r="U1388" s="678"/>
      <c r="V1388" s="678"/>
      <c r="W1388" s="678"/>
      <c r="X1388" s="678"/>
      <c r="Y1388" s="678"/>
      <c r="Z1388" s="526"/>
      <c r="AA1388" s="526"/>
      <c r="AB1388" s="702"/>
      <c r="AC1388" s="702"/>
      <c r="AD1388" s="702"/>
      <c r="AE1388" s="702"/>
      <c r="AF1388" s="702"/>
      <c r="AG1388" s="526"/>
      <c r="AH1388" s="526"/>
      <c r="AI1388" s="526"/>
      <c r="AJ1388" s="779"/>
    </row>
    <row r="1389" spans="1:36" ht="14">
      <c r="A1389" s="40"/>
      <c r="B1389" s="40"/>
      <c r="C1389" s="124"/>
      <c r="D1389" s="124"/>
      <c r="E1389" s="124"/>
      <c r="F1389" s="42"/>
      <c r="G1389" s="42"/>
      <c r="H1389" s="165"/>
      <c r="I1389" s="166" t="s">
        <v>37</v>
      </c>
      <c r="J1389" s="534">
        <f>SUM(J1385:J1388)</f>
        <v>11940480</v>
      </c>
      <c r="K1389" s="535">
        <f>SUM(K1385:K1388)</f>
        <v>0</v>
      </c>
      <c r="L1389" s="534">
        <f>SUM(L1384:L1388)</f>
        <v>0</v>
      </c>
      <c r="M1389" s="534">
        <f t="shared" ref="M1389:T1389" si="1586">SUM(M1384:M1388)</f>
        <v>1800225</v>
      </c>
      <c r="N1389" s="534">
        <f t="shared" si="1586"/>
        <v>0</v>
      </c>
      <c r="O1389" s="534">
        <f t="shared" si="1586"/>
        <v>0</v>
      </c>
      <c r="P1389" s="534">
        <f t="shared" si="1586"/>
        <v>0</v>
      </c>
      <c r="Q1389" s="534">
        <f t="shared" si="1586"/>
        <v>0</v>
      </c>
      <c r="R1389" s="534">
        <f t="shared" si="1586"/>
        <v>0</v>
      </c>
      <c r="S1389" s="534">
        <f t="shared" si="1586"/>
        <v>1800225</v>
      </c>
      <c r="T1389" s="534">
        <f t="shared" si="1586"/>
        <v>1800225</v>
      </c>
      <c r="U1389" s="534"/>
      <c r="V1389" s="534"/>
      <c r="W1389" s="534"/>
      <c r="X1389" s="534"/>
      <c r="Y1389" s="534"/>
      <c r="Z1389" s="534">
        <f t="shared" ref="Z1389:AA1389" si="1587">SUM(Z1384:Z1388)</f>
        <v>0</v>
      </c>
      <c r="AA1389" s="534">
        <f t="shared" si="1587"/>
        <v>1800225</v>
      </c>
      <c r="AB1389" s="534"/>
      <c r="AC1389" s="534"/>
      <c r="AD1389" s="534"/>
      <c r="AE1389" s="534"/>
      <c r="AF1389" s="534"/>
      <c r="AG1389" s="534">
        <f t="shared" ref="AG1389:AH1389" si="1588">SUM(AG1384:AG1388)</f>
        <v>0</v>
      </c>
      <c r="AH1389" s="534">
        <f t="shared" si="1588"/>
        <v>1800225</v>
      </c>
      <c r="AI1389" s="534"/>
      <c r="AJ1389" s="776"/>
    </row>
    <row r="1390" spans="1:36" ht="14">
      <c r="A1390" s="40"/>
      <c r="B1390" s="40"/>
      <c r="C1390" s="124"/>
      <c r="D1390" s="124"/>
      <c r="E1390" s="124"/>
      <c r="F1390" s="41"/>
      <c r="G1390" s="41"/>
      <c r="H1390" s="163"/>
      <c r="I1390" s="125"/>
      <c r="J1390" s="524"/>
      <c r="K1390" s="525"/>
      <c r="L1390" s="526"/>
      <c r="M1390" s="526"/>
      <c r="N1390" s="526"/>
      <c r="O1390" s="526"/>
      <c r="P1390" s="526"/>
      <c r="Q1390" s="526"/>
      <c r="R1390" s="526"/>
      <c r="S1390" s="526"/>
      <c r="T1390" s="526"/>
      <c r="U1390" s="526"/>
      <c r="V1390" s="526"/>
      <c r="W1390" s="526"/>
      <c r="X1390" s="526"/>
      <c r="Y1390" s="526"/>
      <c r="Z1390" s="526"/>
      <c r="AA1390" s="526"/>
      <c r="AB1390" s="526"/>
      <c r="AC1390" s="526"/>
      <c r="AD1390" s="526"/>
      <c r="AE1390" s="526"/>
      <c r="AF1390" s="526"/>
      <c r="AG1390" s="526"/>
      <c r="AH1390" s="526"/>
      <c r="AI1390" s="526"/>
      <c r="AJ1390" s="779"/>
    </row>
    <row r="1391" spans="1:36" ht="14">
      <c r="A1391" s="40">
        <v>138</v>
      </c>
      <c r="B1391" s="40"/>
      <c r="C1391" s="124"/>
      <c r="D1391" s="124"/>
      <c r="E1391" s="124"/>
      <c r="F1391" s="522" t="s">
        <v>559</v>
      </c>
      <c r="G1391" s="41"/>
      <c r="H1391" s="63"/>
      <c r="I1391" s="41"/>
      <c r="J1391" s="680"/>
      <c r="K1391" s="679"/>
      <c r="L1391" s="678"/>
      <c r="M1391" s="678"/>
      <c r="N1391" s="678"/>
      <c r="O1391" s="678"/>
      <c r="P1391" s="678"/>
      <c r="Q1391" s="678"/>
      <c r="R1391" s="678"/>
      <c r="S1391" s="678"/>
      <c r="T1391" s="678"/>
      <c r="U1391" s="678"/>
      <c r="V1391" s="678"/>
      <c r="W1391" s="678"/>
      <c r="X1391" s="678"/>
      <c r="Y1391" s="678"/>
      <c r="Z1391" s="678"/>
      <c r="AA1391" s="678"/>
      <c r="AB1391" s="702"/>
      <c r="AC1391" s="702"/>
      <c r="AD1391" s="702"/>
      <c r="AE1391" s="702"/>
      <c r="AF1391" s="702"/>
      <c r="AG1391" s="702"/>
      <c r="AH1391" s="702"/>
      <c r="AI1391" s="702"/>
      <c r="AJ1391" s="780"/>
    </row>
    <row r="1392" spans="1:36" ht="14">
      <c r="A1392" s="40"/>
      <c r="B1392" s="40"/>
      <c r="C1392" s="124">
        <v>1</v>
      </c>
      <c r="D1392" s="124"/>
      <c r="E1392" s="124"/>
      <c r="F1392" s="41"/>
      <c r="G1392" s="41"/>
      <c r="H1392" s="125" t="s">
        <v>35</v>
      </c>
      <c r="I1392" s="66"/>
      <c r="J1392" s="680"/>
      <c r="K1392" s="679"/>
      <c r="L1392" s="678"/>
      <c r="M1392" s="678"/>
      <c r="N1392" s="678"/>
      <c r="O1392" s="678"/>
      <c r="P1392" s="678"/>
      <c r="Q1392" s="678"/>
      <c r="R1392" s="678"/>
      <c r="S1392" s="678"/>
      <c r="T1392" s="678"/>
      <c r="U1392" s="678"/>
      <c r="V1392" s="678"/>
      <c r="W1392" s="678"/>
      <c r="X1392" s="678"/>
      <c r="Y1392" s="678"/>
      <c r="Z1392" s="678"/>
      <c r="AA1392" s="678"/>
      <c r="AB1392" s="702"/>
      <c r="AC1392" s="702"/>
      <c r="AD1392" s="702"/>
      <c r="AE1392" s="702"/>
      <c r="AF1392" s="702"/>
      <c r="AG1392" s="702"/>
      <c r="AH1392" s="702"/>
      <c r="AI1392" s="702"/>
      <c r="AJ1392" s="780"/>
    </row>
    <row r="1393" spans="1:36" ht="14">
      <c r="A1393" s="40"/>
      <c r="B1393" s="40"/>
      <c r="C1393" s="124"/>
      <c r="D1393" s="124">
        <v>3</v>
      </c>
      <c r="E1393" s="124" t="s">
        <v>199</v>
      </c>
      <c r="F1393" s="41"/>
      <c r="G1393" s="41"/>
      <c r="H1393" s="163"/>
      <c r="I1393" s="125" t="s">
        <v>116</v>
      </c>
      <c r="J1393" s="524">
        <v>11940480</v>
      </c>
      <c r="K1393" s="525"/>
      <c r="L1393" s="526"/>
      <c r="M1393" s="526">
        <v>5000000</v>
      </c>
      <c r="N1393" s="526"/>
      <c r="O1393" s="526"/>
      <c r="P1393" s="526"/>
      <c r="Q1393" s="526"/>
      <c r="R1393" s="526"/>
      <c r="S1393" s="217">
        <f t="shared" ref="S1393" si="1589">SUM(M1393:R1393)</f>
        <v>5000000</v>
      </c>
      <c r="T1393" s="217">
        <f t="shared" ref="T1393" si="1590">S1393+L1393</f>
        <v>5000000</v>
      </c>
      <c r="U1393" s="526"/>
      <c r="V1393" s="526"/>
      <c r="W1393" s="526"/>
      <c r="X1393" s="526"/>
      <c r="Y1393" s="526"/>
      <c r="Z1393" s="217">
        <f>SUM(U1393:Y1393)</f>
        <v>0</v>
      </c>
      <c r="AA1393" s="217">
        <f>Z1393+T1393</f>
        <v>5000000</v>
      </c>
      <c r="AB1393" s="526"/>
      <c r="AC1393" s="526"/>
      <c r="AD1393" s="526"/>
      <c r="AE1393" s="526"/>
      <c r="AF1393" s="526"/>
      <c r="AG1393" s="217">
        <f t="shared" ref="AG1393" si="1591">SUM(AB1393:AF1393)</f>
        <v>0</v>
      </c>
      <c r="AH1393" s="217">
        <f t="shared" ref="AH1393" si="1592">AG1393+AA1393</f>
        <v>5000000</v>
      </c>
      <c r="AI1393" s="217"/>
      <c r="AJ1393" s="764"/>
    </row>
    <row r="1394" spans="1:36" ht="14">
      <c r="A1394" s="40"/>
      <c r="B1394" s="40"/>
      <c r="C1394" s="124"/>
      <c r="D1394" s="124"/>
      <c r="E1394" s="124"/>
      <c r="F1394" s="41"/>
      <c r="G1394" s="41"/>
      <c r="H1394" s="63"/>
      <c r="I1394" s="41"/>
      <c r="J1394" s="680"/>
      <c r="K1394" s="679"/>
      <c r="L1394" s="678"/>
      <c r="M1394" s="678"/>
      <c r="N1394" s="678"/>
      <c r="O1394" s="678"/>
      <c r="P1394" s="678"/>
      <c r="Q1394" s="678"/>
      <c r="R1394" s="678"/>
      <c r="S1394" s="526"/>
      <c r="T1394" s="526"/>
      <c r="U1394" s="678"/>
      <c r="V1394" s="678"/>
      <c r="W1394" s="678"/>
      <c r="X1394" s="678"/>
      <c r="Y1394" s="678"/>
      <c r="Z1394" s="526"/>
      <c r="AA1394" s="526"/>
      <c r="AB1394" s="702"/>
      <c r="AC1394" s="702"/>
      <c r="AD1394" s="702"/>
      <c r="AE1394" s="702"/>
      <c r="AF1394" s="702"/>
      <c r="AG1394" s="526"/>
      <c r="AH1394" s="526"/>
      <c r="AI1394" s="526"/>
      <c r="AJ1394" s="779"/>
    </row>
    <row r="1395" spans="1:36" ht="14">
      <c r="A1395" s="40"/>
      <c r="B1395" s="40"/>
      <c r="C1395" s="124"/>
      <c r="D1395" s="124"/>
      <c r="E1395" s="124"/>
      <c r="F1395" s="42"/>
      <c r="G1395" s="42"/>
      <c r="H1395" s="165"/>
      <c r="I1395" s="166" t="s">
        <v>37</v>
      </c>
      <c r="J1395" s="534">
        <f>SUM(J1391:J1394)</f>
        <v>11940480</v>
      </c>
      <c r="K1395" s="535">
        <f>SUM(K1391:K1394)</f>
        <v>0</v>
      </c>
      <c r="L1395" s="534">
        <f>SUM(L1390:L1394)</f>
        <v>0</v>
      </c>
      <c r="M1395" s="534">
        <f t="shared" ref="M1395:T1395" si="1593">SUM(M1390:M1394)</f>
        <v>5000000</v>
      </c>
      <c r="N1395" s="534">
        <f t="shared" si="1593"/>
        <v>0</v>
      </c>
      <c r="O1395" s="534">
        <f t="shared" si="1593"/>
        <v>0</v>
      </c>
      <c r="P1395" s="534">
        <f t="shared" si="1593"/>
        <v>0</v>
      </c>
      <c r="Q1395" s="534">
        <f t="shared" si="1593"/>
        <v>0</v>
      </c>
      <c r="R1395" s="534">
        <f t="shared" si="1593"/>
        <v>0</v>
      </c>
      <c r="S1395" s="534">
        <f t="shared" si="1593"/>
        <v>5000000</v>
      </c>
      <c r="T1395" s="534">
        <f t="shared" si="1593"/>
        <v>5000000</v>
      </c>
      <c r="U1395" s="534"/>
      <c r="V1395" s="534"/>
      <c r="W1395" s="534"/>
      <c r="X1395" s="534"/>
      <c r="Y1395" s="534"/>
      <c r="Z1395" s="534">
        <f t="shared" ref="Z1395:AA1395" si="1594">SUM(Z1390:Z1394)</f>
        <v>0</v>
      </c>
      <c r="AA1395" s="534">
        <f t="shared" si="1594"/>
        <v>5000000</v>
      </c>
      <c r="AB1395" s="534"/>
      <c r="AC1395" s="534"/>
      <c r="AD1395" s="534"/>
      <c r="AE1395" s="534"/>
      <c r="AF1395" s="534"/>
      <c r="AG1395" s="534">
        <f t="shared" ref="AG1395:AH1395" si="1595">SUM(AG1390:AG1394)</f>
        <v>0</v>
      </c>
      <c r="AH1395" s="534">
        <f t="shared" si="1595"/>
        <v>5000000</v>
      </c>
      <c r="AI1395" s="534"/>
      <c r="AJ1395" s="776"/>
    </row>
    <row r="1396" spans="1:36" ht="14">
      <c r="A1396" s="40"/>
      <c r="B1396" s="40"/>
      <c r="C1396" s="124"/>
      <c r="D1396" s="124"/>
      <c r="E1396" s="124"/>
      <c r="F1396" s="41"/>
      <c r="G1396" s="41"/>
      <c r="H1396" s="163"/>
      <c r="I1396" s="125"/>
      <c r="J1396" s="524"/>
      <c r="K1396" s="525"/>
      <c r="L1396" s="526"/>
      <c r="M1396" s="526"/>
      <c r="N1396" s="526"/>
      <c r="O1396" s="526"/>
      <c r="P1396" s="526"/>
      <c r="Q1396" s="526"/>
      <c r="R1396" s="526"/>
      <c r="S1396" s="526"/>
      <c r="T1396" s="526"/>
      <c r="U1396" s="526"/>
      <c r="V1396" s="526"/>
      <c r="W1396" s="526"/>
      <c r="X1396" s="526"/>
      <c r="Y1396" s="526"/>
      <c r="Z1396" s="526"/>
      <c r="AA1396" s="526"/>
      <c r="AB1396" s="526"/>
      <c r="AC1396" s="526"/>
      <c r="AD1396" s="526"/>
      <c r="AE1396" s="526"/>
      <c r="AF1396" s="526"/>
      <c r="AG1396" s="526"/>
      <c r="AH1396" s="526"/>
      <c r="AI1396" s="526"/>
      <c r="AJ1396" s="779"/>
    </row>
    <row r="1397" spans="1:36" ht="14">
      <c r="A1397" s="40">
        <v>139</v>
      </c>
      <c r="B1397" s="40"/>
      <c r="C1397" s="124"/>
      <c r="D1397" s="124"/>
      <c r="E1397" s="124"/>
      <c r="F1397" s="522" t="s">
        <v>560</v>
      </c>
      <c r="G1397" s="41"/>
      <c r="H1397" s="63"/>
      <c r="I1397" s="41"/>
      <c r="J1397" s="680"/>
      <c r="K1397" s="679"/>
      <c r="L1397" s="678"/>
      <c r="M1397" s="678"/>
      <c r="N1397" s="678"/>
      <c r="O1397" s="678"/>
      <c r="P1397" s="678"/>
      <c r="Q1397" s="678"/>
      <c r="R1397" s="678"/>
      <c r="S1397" s="678"/>
      <c r="T1397" s="678"/>
      <c r="U1397" s="678"/>
      <c r="V1397" s="678"/>
      <c r="W1397" s="678"/>
      <c r="X1397" s="678"/>
      <c r="Y1397" s="678"/>
      <c r="Z1397" s="678"/>
      <c r="AA1397" s="678"/>
      <c r="AB1397" s="702"/>
      <c r="AC1397" s="702"/>
      <c r="AD1397" s="702"/>
      <c r="AE1397" s="702"/>
      <c r="AF1397" s="702"/>
      <c r="AG1397" s="702"/>
      <c r="AH1397" s="702"/>
      <c r="AI1397" s="702"/>
      <c r="AJ1397" s="780"/>
    </row>
    <row r="1398" spans="1:36" ht="14">
      <c r="A1398" s="40"/>
      <c r="B1398" s="40"/>
      <c r="C1398" s="124">
        <v>1</v>
      </c>
      <c r="D1398" s="124"/>
      <c r="E1398" s="124"/>
      <c r="F1398" s="41"/>
      <c r="G1398" s="41"/>
      <c r="H1398" s="125" t="s">
        <v>35</v>
      </c>
      <c r="I1398" s="66"/>
      <c r="J1398" s="680"/>
      <c r="K1398" s="679"/>
      <c r="L1398" s="678"/>
      <c r="M1398" s="678"/>
      <c r="N1398" s="678"/>
      <c r="O1398" s="678"/>
      <c r="P1398" s="678"/>
      <c r="Q1398" s="678"/>
      <c r="R1398" s="678"/>
      <c r="S1398" s="678"/>
      <c r="T1398" s="678"/>
      <c r="U1398" s="678"/>
      <c r="V1398" s="678"/>
      <c r="W1398" s="678"/>
      <c r="X1398" s="678"/>
      <c r="Y1398" s="678"/>
      <c r="Z1398" s="678"/>
      <c r="AA1398" s="678"/>
      <c r="AB1398" s="702"/>
      <c r="AC1398" s="702"/>
      <c r="AD1398" s="702"/>
      <c r="AE1398" s="702"/>
      <c r="AF1398" s="702"/>
      <c r="AG1398" s="702"/>
      <c r="AH1398" s="702"/>
      <c r="AI1398" s="702"/>
      <c r="AJ1398" s="780"/>
    </row>
    <row r="1399" spans="1:36" ht="14">
      <c r="A1399" s="40"/>
      <c r="B1399" s="40"/>
      <c r="C1399" s="124"/>
      <c r="D1399" s="124">
        <v>3</v>
      </c>
      <c r="E1399" s="124" t="s">
        <v>199</v>
      </c>
      <c r="F1399" s="41"/>
      <c r="G1399" s="41"/>
      <c r="H1399" s="163"/>
      <c r="I1399" s="125" t="s">
        <v>116</v>
      </c>
      <c r="J1399" s="524">
        <v>11940480</v>
      </c>
      <c r="K1399" s="525"/>
      <c r="L1399" s="526"/>
      <c r="M1399" s="526">
        <v>1898400</v>
      </c>
      <c r="N1399" s="526"/>
      <c r="O1399" s="526"/>
      <c r="P1399" s="526"/>
      <c r="Q1399" s="526"/>
      <c r="R1399" s="526"/>
      <c r="S1399" s="217">
        <f t="shared" ref="S1399" si="1596">SUM(M1399:R1399)</f>
        <v>1898400</v>
      </c>
      <c r="T1399" s="217">
        <f t="shared" ref="T1399" si="1597">S1399+L1399</f>
        <v>1898400</v>
      </c>
      <c r="U1399" s="526"/>
      <c r="V1399" s="526"/>
      <c r="W1399" s="526"/>
      <c r="X1399" s="526"/>
      <c r="Y1399" s="526"/>
      <c r="Z1399" s="217">
        <f>SUM(U1399:Y1399)</f>
        <v>0</v>
      </c>
      <c r="AA1399" s="217">
        <f>Z1399+T1399</f>
        <v>1898400</v>
      </c>
      <c r="AB1399" s="526"/>
      <c r="AC1399" s="526"/>
      <c r="AD1399" s="526"/>
      <c r="AE1399" s="526"/>
      <c r="AF1399" s="526"/>
      <c r="AG1399" s="217">
        <f t="shared" ref="AG1399" si="1598">SUM(AB1399:AF1399)</f>
        <v>0</v>
      </c>
      <c r="AH1399" s="217">
        <f t="shared" ref="AH1399" si="1599">AG1399+AA1399</f>
        <v>1898400</v>
      </c>
      <c r="AI1399" s="217"/>
      <c r="AJ1399" s="764"/>
    </row>
    <row r="1400" spans="1:36" ht="14">
      <c r="A1400" s="40"/>
      <c r="B1400" s="40"/>
      <c r="C1400" s="124"/>
      <c r="D1400" s="124"/>
      <c r="E1400" s="124"/>
      <c r="F1400" s="41"/>
      <c r="G1400" s="41"/>
      <c r="H1400" s="63"/>
      <c r="I1400" s="41"/>
      <c r="J1400" s="680"/>
      <c r="K1400" s="679"/>
      <c r="L1400" s="678"/>
      <c r="M1400" s="678"/>
      <c r="N1400" s="678"/>
      <c r="O1400" s="678"/>
      <c r="P1400" s="678"/>
      <c r="Q1400" s="678"/>
      <c r="R1400" s="678"/>
      <c r="S1400" s="526"/>
      <c r="T1400" s="526"/>
      <c r="U1400" s="678"/>
      <c r="V1400" s="678"/>
      <c r="W1400" s="678"/>
      <c r="X1400" s="678"/>
      <c r="Y1400" s="678"/>
      <c r="Z1400" s="526"/>
      <c r="AA1400" s="526"/>
      <c r="AB1400" s="702"/>
      <c r="AC1400" s="702"/>
      <c r="AD1400" s="702"/>
      <c r="AE1400" s="702"/>
      <c r="AF1400" s="702"/>
      <c r="AG1400" s="526"/>
      <c r="AH1400" s="526"/>
      <c r="AI1400" s="526"/>
      <c r="AJ1400" s="779"/>
    </row>
    <row r="1401" spans="1:36" ht="14">
      <c r="A1401" s="40"/>
      <c r="B1401" s="40"/>
      <c r="C1401" s="124"/>
      <c r="D1401" s="124"/>
      <c r="E1401" s="124"/>
      <c r="F1401" s="42"/>
      <c r="G1401" s="42"/>
      <c r="H1401" s="165"/>
      <c r="I1401" s="166" t="s">
        <v>37</v>
      </c>
      <c r="J1401" s="534">
        <f>SUM(J1397:J1400)</f>
        <v>11940480</v>
      </c>
      <c r="K1401" s="535">
        <f>SUM(K1397:K1400)</f>
        <v>0</v>
      </c>
      <c r="L1401" s="534">
        <f>SUM(L1396:L1400)</f>
        <v>0</v>
      </c>
      <c r="M1401" s="534">
        <f t="shared" ref="M1401:T1401" si="1600">SUM(M1396:M1400)</f>
        <v>1898400</v>
      </c>
      <c r="N1401" s="534">
        <f t="shared" si="1600"/>
        <v>0</v>
      </c>
      <c r="O1401" s="534">
        <f t="shared" si="1600"/>
        <v>0</v>
      </c>
      <c r="P1401" s="534">
        <f t="shared" si="1600"/>
        <v>0</v>
      </c>
      <c r="Q1401" s="534">
        <f t="shared" si="1600"/>
        <v>0</v>
      </c>
      <c r="R1401" s="534">
        <f t="shared" si="1600"/>
        <v>0</v>
      </c>
      <c r="S1401" s="534">
        <f t="shared" si="1600"/>
        <v>1898400</v>
      </c>
      <c r="T1401" s="534">
        <f t="shared" si="1600"/>
        <v>1898400</v>
      </c>
      <c r="U1401" s="534"/>
      <c r="V1401" s="534"/>
      <c r="W1401" s="534"/>
      <c r="X1401" s="534"/>
      <c r="Y1401" s="534"/>
      <c r="Z1401" s="534">
        <f t="shared" ref="Z1401:AA1401" si="1601">SUM(Z1396:Z1400)</f>
        <v>0</v>
      </c>
      <c r="AA1401" s="534">
        <f t="shared" si="1601"/>
        <v>1898400</v>
      </c>
      <c r="AB1401" s="534"/>
      <c r="AC1401" s="534"/>
      <c r="AD1401" s="534"/>
      <c r="AE1401" s="534"/>
      <c r="AF1401" s="534"/>
      <c r="AG1401" s="534">
        <f t="shared" ref="AG1401:AH1401" si="1602">SUM(AG1396:AG1400)</f>
        <v>0</v>
      </c>
      <c r="AH1401" s="534">
        <f t="shared" si="1602"/>
        <v>1898400</v>
      </c>
      <c r="AI1401" s="534"/>
      <c r="AJ1401" s="776"/>
    </row>
    <row r="1402" spans="1:36" ht="14">
      <c r="A1402" s="40"/>
      <c r="B1402" s="40"/>
      <c r="C1402" s="124"/>
      <c r="D1402" s="124"/>
      <c r="E1402" s="124"/>
      <c r="F1402" s="41"/>
      <c r="G1402" s="41"/>
      <c r="H1402" s="66"/>
      <c r="I1402" s="41"/>
      <c r="J1402" s="126"/>
      <c r="K1402" s="204"/>
      <c r="L1402" s="205"/>
      <c r="M1402" s="205"/>
      <c r="N1402" s="205"/>
      <c r="O1402" s="205"/>
      <c r="P1402" s="205"/>
      <c r="Q1402" s="205"/>
      <c r="R1402" s="205"/>
      <c r="S1402" s="205"/>
      <c r="T1402" s="205"/>
      <c r="U1402" s="205"/>
      <c r="V1402" s="205"/>
      <c r="W1402" s="205"/>
      <c r="X1402" s="205"/>
      <c r="Y1402" s="205"/>
      <c r="Z1402" s="205"/>
      <c r="AA1402" s="205"/>
      <c r="AB1402" s="205"/>
      <c r="AC1402" s="205"/>
      <c r="AD1402" s="205"/>
      <c r="AE1402" s="205"/>
      <c r="AF1402" s="205"/>
      <c r="AG1402" s="205"/>
      <c r="AH1402" s="205"/>
      <c r="AI1402" s="205"/>
      <c r="AJ1402" s="747"/>
    </row>
    <row r="1403" spans="1:36" s="422" customFormat="1" ht="14">
      <c r="A1403" s="509"/>
      <c r="B1403" s="670"/>
      <c r="C1403" s="510"/>
      <c r="D1403" s="510"/>
      <c r="E1403" s="510"/>
      <c r="F1403" s="937" t="s">
        <v>200</v>
      </c>
      <c r="G1403" s="937"/>
      <c r="H1403" s="937"/>
      <c r="I1403" s="938"/>
      <c r="J1403" s="511">
        <f>J1407-J1405</f>
        <v>442382952</v>
      </c>
      <c r="K1403" s="512">
        <f t="shared" ref="K1403:L1403" si="1603">K1407-K1405</f>
        <v>135749000</v>
      </c>
      <c r="L1403" s="223">
        <f t="shared" si="1603"/>
        <v>578131952</v>
      </c>
      <c r="M1403" s="223">
        <f t="shared" ref="M1403:T1403" si="1604">M1407-M1405</f>
        <v>154855029</v>
      </c>
      <c r="N1403" s="223">
        <f t="shared" si="1604"/>
        <v>0</v>
      </c>
      <c r="O1403" s="223">
        <f t="shared" si="1604"/>
        <v>149930314</v>
      </c>
      <c r="P1403" s="223">
        <f t="shared" si="1604"/>
        <v>30000</v>
      </c>
      <c r="Q1403" s="223">
        <f t="shared" si="1604"/>
        <v>-810000</v>
      </c>
      <c r="R1403" s="223">
        <f t="shared" si="1604"/>
        <v>0</v>
      </c>
      <c r="S1403" s="223">
        <f t="shared" si="1604"/>
        <v>304005343</v>
      </c>
      <c r="T1403" s="223">
        <f t="shared" si="1604"/>
        <v>882137295</v>
      </c>
      <c r="U1403" s="223"/>
      <c r="V1403" s="223">
        <f t="shared" ref="V1403:W1403" si="1605">V1407-V1405</f>
        <v>16411200</v>
      </c>
      <c r="W1403" s="223">
        <f t="shared" si="1605"/>
        <v>38960</v>
      </c>
      <c r="X1403" s="223">
        <f t="shared" ref="X1403:Y1403" si="1606">X1407-X1405</f>
        <v>-21524871</v>
      </c>
      <c r="Y1403" s="223">
        <f t="shared" si="1606"/>
        <v>0</v>
      </c>
      <c r="Z1403" s="223">
        <f t="shared" ref="Z1403:AD1403" si="1607">Z1407-Z1405</f>
        <v>-5074711</v>
      </c>
      <c r="AA1403" s="223">
        <f t="shared" si="1607"/>
        <v>877062584</v>
      </c>
      <c r="AB1403" s="223">
        <f t="shared" si="1607"/>
        <v>0</v>
      </c>
      <c r="AC1403" s="223">
        <f t="shared" si="1607"/>
        <v>17178380</v>
      </c>
      <c r="AD1403" s="223">
        <f t="shared" si="1607"/>
        <v>0</v>
      </c>
      <c r="AE1403" s="223">
        <f t="shared" ref="AE1403:AH1403" si="1608">AE1407-AE1405</f>
        <v>532400</v>
      </c>
      <c r="AF1403" s="223">
        <f t="shared" si="1608"/>
        <v>0</v>
      </c>
      <c r="AG1403" s="223">
        <f t="shared" si="1608"/>
        <v>17710780</v>
      </c>
      <c r="AH1403" s="223">
        <f t="shared" si="1608"/>
        <v>894773364</v>
      </c>
      <c r="AI1403" s="223">
        <f t="shared" ref="AI1403" si="1609">AI1407-AI1405</f>
        <v>665972170</v>
      </c>
      <c r="AJ1403" s="778">
        <f>AI1403/AH1403*100</f>
        <v>74.429145613234866</v>
      </c>
    </row>
    <row r="1404" spans="1:36" s="422" customFormat="1" ht="14">
      <c r="A1404" s="40"/>
      <c r="B1404" s="40"/>
      <c r="C1404" s="124"/>
      <c r="D1404" s="124"/>
      <c r="E1404" s="124"/>
      <c r="F1404" s="41"/>
      <c r="G1404" s="41"/>
      <c r="H1404" s="66"/>
      <c r="I1404" s="41"/>
      <c r="J1404" s="126"/>
      <c r="K1404" s="204"/>
      <c r="L1404" s="205"/>
      <c r="M1404" s="205"/>
      <c r="N1404" s="205"/>
      <c r="O1404" s="205"/>
      <c r="P1404" s="205"/>
      <c r="Q1404" s="205"/>
      <c r="R1404" s="205"/>
      <c r="S1404" s="205"/>
      <c r="T1404" s="205"/>
      <c r="U1404" s="205"/>
      <c r="V1404" s="205"/>
      <c r="W1404" s="205"/>
      <c r="X1404" s="205"/>
      <c r="Y1404" s="205"/>
      <c r="Z1404" s="205"/>
      <c r="AA1404" s="205"/>
      <c r="AB1404" s="205"/>
      <c r="AC1404" s="205"/>
      <c r="AD1404" s="205"/>
      <c r="AE1404" s="205"/>
      <c r="AF1404" s="205"/>
      <c r="AG1404" s="205"/>
      <c r="AH1404" s="205"/>
      <c r="AI1404" s="205"/>
      <c r="AJ1404" s="747"/>
    </row>
    <row r="1405" spans="1:36" s="422" customFormat="1" ht="14">
      <c r="A1405" s="509"/>
      <c r="B1405" s="670"/>
      <c r="C1405" s="510"/>
      <c r="D1405" s="510"/>
      <c r="E1405" s="510"/>
      <c r="F1405" s="937" t="s">
        <v>201</v>
      </c>
      <c r="G1405" s="937"/>
      <c r="H1405" s="937"/>
      <c r="I1405" s="938"/>
      <c r="J1405" s="511">
        <f>J1355</f>
        <v>0</v>
      </c>
      <c r="K1405" s="512">
        <f>K1355</f>
        <v>6300000</v>
      </c>
      <c r="L1405" s="223">
        <f>L1355</f>
        <v>6300000</v>
      </c>
      <c r="M1405" s="223">
        <f t="shared" ref="M1405:T1405" si="1610">M1355</f>
        <v>0</v>
      </c>
      <c r="N1405" s="223">
        <f t="shared" si="1610"/>
        <v>0</v>
      </c>
      <c r="O1405" s="223">
        <f t="shared" si="1610"/>
        <v>0</v>
      </c>
      <c r="P1405" s="223">
        <f t="shared" si="1610"/>
        <v>0</v>
      </c>
      <c r="Q1405" s="223">
        <f t="shared" si="1610"/>
        <v>0</v>
      </c>
      <c r="R1405" s="223">
        <f t="shared" si="1610"/>
        <v>0</v>
      </c>
      <c r="S1405" s="223">
        <f t="shared" si="1610"/>
        <v>0</v>
      </c>
      <c r="T1405" s="223">
        <f t="shared" si="1610"/>
        <v>6300000</v>
      </c>
      <c r="U1405" s="223"/>
      <c r="V1405" s="223">
        <f t="shared" ref="V1405:W1405" si="1611">V1355</f>
        <v>0</v>
      </c>
      <c r="W1405" s="223">
        <f t="shared" si="1611"/>
        <v>0</v>
      </c>
      <c r="X1405" s="223">
        <f t="shared" ref="X1405:Y1405" si="1612">X1355</f>
        <v>0</v>
      </c>
      <c r="Y1405" s="223">
        <f t="shared" si="1612"/>
        <v>0</v>
      </c>
      <c r="Z1405" s="223">
        <f t="shared" ref="Z1405:AD1405" si="1613">Z1355</f>
        <v>0</v>
      </c>
      <c r="AA1405" s="223">
        <f t="shared" si="1613"/>
        <v>6300000</v>
      </c>
      <c r="AB1405" s="223">
        <f t="shared" si="1613"/>
        <v>0</v>
      </c>
      <c r="AC1405" s="223">
        <f t="shared" si="1613"/>
        <v>0</v>
      </c>
      <c r="AD1405" s="223">
        <f t="shared" si="1613"/>
        <v>0</v>
      </c>
      <c r="AE1405" s="223">
        <f t="shared" ref="AE1405:AH1405" si="1614">AE1355</f>
        <v>1380000</v>
      </c>
      <c r="AF1405" s="223">
        <f t="shared" si="1614"/>
        <v>0</v>
      </c>
      <c r="AG1405" s="223">
        <f t="shared" si="1614"/>
        <v>1380000</v>
      </c>
      <c r="AH1405" s="223">
        <f t="shared" si="1614"/>
        <v>7680000</v>
      </c>
      <c r="AI1405" s="223">
        <f t="shared" ref="AI1405" si="1615">AI1355</f>
        <v>7678920</v>
      </c>
      <c r="AJ1405" s="778">
        <f>AI1405/AH1405*100</f>
        <v>99.985937500000006</v>
      </c>
    </row>
    <row r="1406" spans="1:36" ht="14">
      <c r="A1406" s="40"/>
      <c r="B1406" s="40"/>
      <c r="C1406" s="124"/>
      <c r="D1406" s="124"/>
      <c r="E1406" s="124"/>
      <c r="F1406" s="41"/>
      <c r="G1406" s="41"/>
      <c r="H1406" s="63"/>
      <c r="I1406" s="41"/>
      <c r="J1406" s="680"/>
      <c r="K1406" s="679"/>
      <c r="L1406" s="678"/>
      <c r="M1406" s="678"/>
      <c r="N1406" s="678"/>
      <c r="O1406" s="678"/>
      <c r="P1406" s="678"/>
      <c r="Q1406" s="678"/>
      <c r="R1406" s="678"/>
      <c r="S1406" s="678"/>
      <c r="T1406" s="678"/>
      <c r="U1406" s="678"/>
      <c r="V1406" s="678"/>
      <c r="W1406" s="678"/>
      <c r="X1406" s="678"/>
      <c r="Y1406" s="678"/>
      <c r="Z1406" s="678"/>
      <c r="AA1406" s="678"/>
      <c r="AB1406" s="717"/>
      <c r="AC1406" s="717"/>
      <c r="AD1406" s="717"/>
      <c r="AE1406" s="702"/>
      <c r="AF1406" s="702"/>
      <c r="AG1406" s="702"/>
      <c r="AH1406" s="702"/>
      <c r="AI1406" s="717"/>
      <c r="AJ1406" s="780"/>
    </row>
    <row r="1407" spans="1:36" ht="18.75" customHeight="1">
      <c r="A1407" s="509"/>
      <c r="B1407" s="670"/>
      <c r="C1407" s="510"/>
      <c r="D1407" s="510"/>
      <c r="E1407" s="510"/>
      <c r="F1407" s="937" t="s">
        <v>561</v>
      </c>
      <c r="G1407" s="937"/>
      <c r="H1407" s="937"/>
      <c r="I1407" s="957"/>
      <c r="J1407" s="517">
        <f>SUM(J1291:J1371)/2+J1289+J1248</f>
        <v>442382952</v>
      </c>
      <c r="K1407" s="518">
        <f>SUM(K1291:K1371)/2+K1289+K1248</f>
        <v>142049000</v>
      </c>
      <c r="L1407" s="517">
        <f>SUM(L1291:L1371)/2+L1289+L1248</f>
        <v>584431952</v>
      </c>
      <c r="M1407" s="517">
        <f>SUM(M1291:M1401)/2+M1289+M1248</f>
        <v>154855029</v>
      </c>
      <c r="N1407" s="517">
        <f t="shared" ref="N1407:T1407" si="1616">SUM(N1291:N1401)/2+N1289+N1248</f>
        <v>0</v>
      </c>
      <c r="O1407" s="517">
        <f t="shared" si="1616"/>
        <v>149930314</v>
      </c>
      <c r="P1407" s="517">
        <f t="shared" si="1616"/>
        <v>30000</v>
      </c>
      <c r="Q1407" s="517">
        <f t="shared" si="1616"/>
        <v>-810000</v>
      </c>
      <c r="R1407" s="517">
        <f t="shared" si="1616"/>
        <v>0</v>
      </c>
      <c r="S1407" s="517">
        <f t="shared" si="1616"/>
        <v>304005343</v>
      </c>
      <c r="T1407" s="517">
        <f t="shared" si="1616"/>
        <v>888437295</v>
      </c>
      <c r="U1407" s="517"/>
      <c r="V1407" s="517">
        <f t="shared" ref="V1407:W1407" si="1617">SUM(V1291:V1401)/2+V1289+V1248</f>
        <v>16411200</v>
      </c>
      <c r="W1407" s="517">
        <f t="shared" si="1617"/>
        <v>38960</v>
      </c>
      <c r="X1407" s="517">
        <f t="shared" ref="X1407:Y1407" si="1618">SUM(X1291:X1401)/2+X1289+X1248</f>
        <v>-21524871</v>
      </c>
      <c r="Y1407" s="517">
        <f t="shared" si="1618"/>
        <v>0</v>
      </c>
      <c r="Z1407" s="517">
        <f t="shared" ref="Z1407:AD1407" si="1619">SUM(Z1291:Z1401)/2+Z1289+Z1248</f>
        <v>-5074711</v>
      </c>
      <c r="AA1407" s="517">
        <f t="shared" si="1619"/>
        <v>883362584</v>
      </c>
      <c r="AB1407" s="517">
        <f t="shared" si="1619"/>
        <v>0</v>
      </c>
      <c r="AC1407" s="517">
        <f t="shared" si="1619"/>
        <v>17178380</v>
      </c>
      <c r="AD1407" s="517">
        <f t="shared" si="1619"/>
        <v>0</v>
      </c>
      <c r="AE1407" s="517">
        <f t="shared" ref="AE1407:AH1407" si="1620">SUM(AE1291:AE1401)/2+AE1289+AE1248</f>
        <v>1912400</v>
      </c>
      <c r="AF1407" s="517">
        <f t="shared" si="1620"/>
        <v>0</v>
      </c>
      <c r="AG1407" s="517">
        <f t="shared" si="1620"/>
        <v>19090780</v>
      </c>
      <c r="AH1407" s="517">
        <f t="shared" si="1620"/>
        <v>902453364</v>
      </c>
      <c r="AI1407" s="517">
        <f t="shared" ref="AI1407" si="1621">SUM(AI1291:AI1401)/2+AI1289+AI1248</f>
        <v>673651090</v>
      </c>
      <c r="AJ1407" s="778">
        <f>AI1407/AH1407*100</f>
        <v>74.646637363523638</v>
      </c>
    </row>
    <row r="1408" spans="1:36">
      <c r="A1408" s="441"/>
      <c r="B1408" s="441"/>
      <c r="C1408" s="133"/>
      <c r="D1408" s="133"/>
      <c r="E1408" s="133"/>
      <c r="F1408" s="449"/>
      <c r="G1408" s="449"/>
      <c r="H1408" s="450"/>
      <c r="I1408" s="449"/>
      <c r="J1408" s="523"/>
      <c r="K1408" s="539"/>
      <c r="L1408" s="540"/>
      <c r="M1408" s="540"/>
      <c r="N1408" s="540"/>
      <c r="O1408" s="540"/>
      <c r="P1408" s="540"/>
      <c r="Q1408" s="540"/>
      <c r="R1408" s="540"/>
      <c r="S1408" s="540"/>
      <c r="T1408" s="540"/>
      <c r="U1408" s="540"/>
      <c r="V1408" s="540"/>
      <c r="W1408" s="540"/>
      <c r="X1408" s="540"/>
      <c r="Y1408" s="540"/>
      <c r="Z1408" s="540"/>
      <c r="AA1408" s="540"/>
      <c r="AB1408" s="540"/>
      <c r="AC1408" s="540"/>
      <c r="AD1408" s="540"/>
      <c r="AE1408" s="540"/>
      <c r="AF1408" s="540"/>
      <c r="AG1408" s="540"/>
      <c r="AH1408" s="540"/>
      <c r="AI1408" s="540"/>
      <c r="AJ1408" s="781"/>
    </row>
    <row r="1409" spans="1:36" ht="14">
      <c r="A1409" s="40">
        <v>141</v>
      </c>
      <c r="B1409" s="40"/>
      <c r="C1409" s="124"/>
      <c r="D1409" s="124"/>
      <c r="E1409" s="124"/>
      <c r="F1409" s="41" t="s">
        <v>79</v>
      </c>
      <c r="G1409" s="41"/>
      <c r="H1409" s="66"/>
      <c r="I1409" s="41"/>
      <c r="J1409" s="126"/>
      <c r="K1409" s="204"/>
      <c r="L1409" s="205"/>
      <c r="M1409" s="205"/>
      <c r="N1409" s="205"/>
      <c r="O1409" s="205"/>
      <c r="P1409" s="205"/>
      <c r="Q1409" s="205"/>
      <c r="R1409" s="205"/>
      <c r="S1409" s="205"/>
      <c r="T1409" s="205"/>
      <c r="U1409" s="205"/>
      <c r="V1409" s="205"/>
      <c r="W1409" s="205"/>
      <c r="X1409" s="205"/>
      <c r="Y1409" s="205"/>
      <c r="Z1409" s="205"/>
      <c r="AA1409" s="205"/>
      <c r="AB1409" s="205"/>
      <c r="AC1409" s="205"/>
      <c r="AD1409" s="205"/>
      <c r="AE1409" s="205"/>
      <c r="AF1409" s="205"/>
      <c r="AG1409" s="205"/>
      <c r="AH1409" s="205"/>
      <c r="AI1409" s="205"/>
      <c r="AJ1409" s="747"/>
    </row>
    <row r="1410" spans="1:36" ht="14">
      <c r="A1410" s="40"/>
      <c r="B1410" s="40"/>
      <c r="C1410" s="124">
        <v>1</v>
      </c>
      <c r="D1410" s="124"/>
      <c r="E1410" s="124"/>
      <c r="F1410" s="41"/>
      <c r="G1410" s="41"/>
      <c r="H1410" s="125" t="s">
        <v>35</v>
      </c>
      <c r="I1410" s="66"/>
      <c r="J1410" s="126"/>
      <c r="K1410" s="204"/>
      <c r="L1410" s="205"/>
      <c r="M1410" s="205"/>
      <c r="N1410" s="205"/>
      <c r="O1410" s="205"/>
      <c r="P1410" s="205"/>
      <c r="Q1410" s="205"/>
      <c r="R1410" s="205"/>
      <c r="S1410" s="205"/>
      <c r="T1410" s="205"/>
      <c r="U1410" s="205"/>
      <c r="V1410" s="205"/>
      <c r="W1410" s="205"/>
      <c r="X1410" s="205"/>
      <c r="Y1410" s="205"/>
      <c r="Z1410" s="205"/>
      <c r="AA1410" s="205"/>
      <c r="AB1410" s="205"/>
      <c r="AC1410" s="205"/>
      <c r="AD1410" s="205"/>
      <c r="AE1410" s="205"/>
      <c r="AF1410" s="205"/>
      <c r="AG1410" s="205"/>
      <c r="AH1410" s="205"/>
      <c r="AI1410" s="205"/>
      <c r="AJ1410" s="747"/>
    </row>
    <row r="1411" spans="1:36" ht="14">
      <c r="A1411" s="40"/>
      <c r="B1411" s="40"/>
      <c r="C1411" s="124"/>
      <c r="D1411" s="124">
        <v>3</v>
      </c>
      <c r="E1411" s="124" t="s">
        <v>199</v>
      </c>
      <c r="F1411" s="41"/>
      <c r="G1411" s="41"/>
      <c r="H1411" s="163"/>
      <c r="I1411" s="125" t="s">
        <v>116</v>
      </c>
      <c r="J1411" s="452">
        <v>3000000</v>
      </c>
      <c r="K1411" s="453"/>
      <c r="L1411" s="217">
        <f>SUM(J1411:K1411)</f>
        <v>3000000</v>
      </c>
      <c r="M1411" s="217">
        <v>1689100</v>
      </c>
      <c r="N1411" s="217"/>
      <c r="O1411" s="217"/>
      <c r="P1411" s="217"/>
      <c r="Q1411" s="217">
        <v>167081</v>
      </c>
      <c r="R1411" s="217"/>
      <c r="S1411" s="217">
        <f t="shared" ref="S1411:S1413" si="1622">SUM(M1411:R1411)</f>
        <v>1856181</v>
      </c>
      <c r="T1411" s="217">
        <f t="shared" ref="T1411:T1413" si="1623">S1411+L1411</f>
        <v>4856181</v>
      </c>
      <c r="U1411" s="217"/>
      <c r="V1411" s="217"/>
      <c r="W1411" s="217"/>
      <c r="X1411" s="217">
        <v>1344895</v>
      </c>
      <c r="Y1411" s="217"/>
      <c r="Z1411" s="217">
        <f>SUM(U1411:Y1411)</f>
        <v>1344895</v>
      </c>
      <c r="AA1411" s="217">
        <f>Z1411+T1411</f>
        <v>6201076</v>
      </c>
      <c r="AB1411" s="217"/>
      <c r="AC1411" s="217"/>
      <c r="AD1411" s="217"/>
      <c r="AE1411" s="217">
        <v>-248269</v>
      </c>
      <c r="AF1411" s="217"/>
      <c r="AG1411" s="217">
        <f t="shared" ref="AG1411" si="1624">SUM(AB1411:AF1411)</f>
        <v>-248269</v>
      </c>
      <c r="AH1411" s="217">
        <f t="shared" ref="AH1411" si="1625">AG1411+AA1411</f>
        <v>5952807</v>
      </c>
      <c r="AI1411" s="217">
        <v>5720396</v>
      </c>
      <c r="AJ1411" s="764">
        <f>AI1411/AH1411*100</f>
        <v>96.095774648833725</v>
      </c>
    </row>
    <row r="1412" spans="1:36" ht="14">
      <c r="A1412" s="40"/>
      <c r="B1412" s="40"/>
      <c r="C1412" s="124">
        <v>2</v>
      </c>
      <c r="D1412" s="124"/>
      <c r="E1412" s="124"/>
      <c r="F1412" s="41"/>
      <c r="G1412" s="41"/>
      <c r="H1412" s="162" t="s">
        <v>211</v>
      </c>
      <c r="I1412" s="66"/>
      <c r="J1412" s="126"/>
      <c r="K1412" s="204"/>
      <c r="L1412" s="217"/>
      <c r="M1412" s="217"/>
      <c r="N1412" s="217"/>
      <c r="O1412" s="217"/>
      <c r="P1412" s="217"/>
      <c r="Q1412" s="217"/>
      <c r="R1412" s="217"/>
      <c r="S1412" s="217"/>
      <c r="T1412" s="217"/>
      <c r="U1412" s="217"/>
      <c r="V1412" s="217"/>
      <c r="W1412" s="217"/>
      <c r="X1412" s="217"/>
      <c r="Y1412" s="217"/>
      <c r="Z1412" s="217"/>
      <c r="AA1412" s="217"/>
      <c r="AB1412" s="217"/>
      <c r="AC1412" s="217"/>
      <c r="AD1412" s="217"/>
      <c r="AE1412" s="217"/>
      <c r="AF1412" s="217"/>
      <c r="AG1412" s="217"/>
      <c r="AH1412" s="217"/>
      <c r="AI1412" s="217"/>
      <c r="AJ1412" s="764"/>
    </row>
    <row r="1413" spans="1:36" ht="14">
      <c r="A1413" s="40"/>
      <c r="B1413" s="40"/>
      <c r="C1413" s="124"/>
      <c r="D1413" s="124">
        <v>7</v>
      </c>
      <c r="E1413" s="124" t="s">
        <v>199</v>
      </c>
      <c r="F1413" s="41"/>
      <c r="G1413" s="41"/>
      <c r="H1413" s="66"/>
      <c r="I1413" s="125" t="s">
        <v>214</v>
      </c>
      <c r="J1413" s="452"/>
      <c r="K1413" s="453">
        <v>17000000</v>
      </c>
      <c r="L1413" s="217">
        <f>SUM(J1413:K1413)</f>
        <v>17000000</v>
      </c>
      <c r="M1413" s="217">
        <v>4000000</v>
      </c>
      <c r="N1413" s="217"/>
      <c r="O1413" s="217"/>
      <c r="P1413" s="217"/>
      <c r="Q1413" s="217">
        <v>-7177554</v>
      </c>
      <c r="R1413" s="217"/>
      <c r="S1413" s="217">
        <f t="shared" si="1622"/>
        <v>-3177554</v>
      </c>
      <c r="T1413" s="217">
        <f t="shared" si="1623"/>
        <v>13822446</v>
      </c>
      <c r="U1413" s="217"/>
      <c r="V1413" s="217"/>
      <c r="W1413" s="217"/>
      <c r="X1413" s="217">
        <v>-1201800</v>
      </c>
      <c r="Y1413" s="217"/>
      <c r="Z1413" s="217">
        <f>SUM(U1413:Y1413)</f>
        <v>-1201800</v>
      </c>
      <c r="AA1413" s="217">
        <f>Z1413+T1413</f>
        <v>12620646</v>
      </c>
      <c r="AB1413" s="217"/>
      <c r="AC1413" s="217"/>
      <c r="AD1413" s="217"/>
      <c r="AE1413" s="217">
        <v>-593613</v>
      </c>
      <c r="AF1413" s="217"/>
      <c r="AG1413" s="217">
        <f t="shared" ref="AG1413" si="1626">SUM(AB1413:AF1413)</f>
        <v>-593613</v>
      </c>
      <c r="AH1413" s="217">
        <f t="shared" ref="AH1413" si="1627">AG1413+AA1413</f>
        <v>12027033</v>
      </c>
      <c r="AI1413" s="217">
        <v>11215820</v>
      </c>
      <c r="AJ1413" s="764">
        <f>AI1413/AH1413*100</f>
        <v>93.255086271069516</v>
      </c>
    </row>
    <row r="1414" spans="1:36" ht="5.5" customHeight="1">
      <c r="A1414" s="40"/>
      <c r="B1414" s="40"/>
      <c r="C1414" s="124"/>
      <c r="D1414" s="124"/>
      <c r="E1414" s="124"/>
      <c r="F1414" s="41"/>
      <c r="G1414" s="41"/>
      <c r="H1414" s="66"/>
      <c r="I1414" s="66"/>
      <c r="J1414" s="126"/>
      <c r="K1414" s="204"/>
      <c r="L1414" s="205"/>
      <c r="M1414" s="205"/>
      <c r="N1414" s="205"/>
      <c r="O1414" s="205"/>
      <c r="P1414" s="205"/>
      <c r="Q1414" s="205"/>
      <c r="R1414" s="205"/>
      <c r="S1414" s="205"/>
      <c r="T1414" s="205"/>
      <c r="U1414" s="205"/>
      <c r="V1414" s="205"/>
      <c r="W1414" s="205"/>
      <c r="X1414" s="205"/>
      <c r="Y1414" s="205"/>
      <c r="Z1414" s="205"/>
      <c r="AA1414" s="205"/>
      <c r="AB1414" s="205"/>
      <c r="AC1414" s="205"/>
      <c r="AD1414" s="205"/>
      <c r="AE1414" s="205"/>
      <c r="AF1414" s="205"/>
      <c r="AG1414" s="205"/>
      <c r="AH1414" s="205"/>
      <c r="AI1414" s="205"/>
      <c r="AJ1414" s="747"/>
    </row>
    <row r="1415" spans="1:36" ht="14">
      <c r="A1415" s="40"/>
      <c r="B1415" s="40"/>
      <c r="C1415" s="124"/>
      <c r="D1415" s="124"/>
      <c r="E1415" s="124"/>
      <c r="F1415" s="166"/>
      <c r="G1415" s="166"/>
      <c r="H1415" s="464"/>
      <c r="I1415" s="166" t="s">
        <v>37</v>
      </c>
      <c r="J1415" s="460">
        <f>SUM(J1408:J1414)</f>
        <v>3000000</v>
      </c>
      <c r="K1415" s="461">
        <f>SUM(K1408:K1414)</f>
        <v>17000000</v>
      </c>
      <c r="L1415" s="460">
        <f>SUM(L1408:L1414)</f>
        <v>20000000</v>
      </c>
      <c r="M1415" s="460">
        <f t="shared" ref="M1415:T1415" si="1628">SUM(M1408:M1414)</f>
        <v>5689100</v>
      </c>
      <c r="N1415" s="460">
        <f t="shared" si="1628"/>
        <v>0</v>
      </c>
      <c r="O1415" s="460">
        <f t="shared" si="1628"/>
        <v>0</v>
      </c>
      <c r="P1415" s="460">
        <f t="shared" si="1628"/>
        <v>0</v>
      </c>
      <c r="Q1415" s="460">
        <f t="shared" si="1628"/>
        <v>-7010473</v>
      </c>
      <c r="R1415" s="460">
        <f t="shared" si="1628"/>
        <v>0</v>
      </c>
      <c r="S1415" s="460">
        <f t="shared" si="1628"/>
        <v>-1321373</v>
      </c>
      <c r="T1415" s="460">
        <f t="shared" si="1628"/>
        <v>18678627</v>
      </c>
      <c r="U1415" s="460"/>
      <c r="V1415" s="460"/>
      <c r="W1415" s="460"/>
      <c r="X1415" s="460">
        <f t="shared" ref="X1415:AA1415" si="1629">SUM(X1408:X1414)</f>
        <v>143095</v>
      </c>
      <c r="Y1415" s="460"/>
      <c r="Z1415" s="460">
        <f t="shared" si="1629"/>
        <v>143095</v>
      </c>
      <c r="AA1415" s="460">
        <f t="shared" si="1629"/>
        <v>18821722</v>
      </c>
      <c r="AB1415" s="460"/>
      <c r="AC1415" s="460"/>
      <c r="AD1415" s="460"/>
      <c r="AE1415" s="460">
        <f t="shared" ref="AE1415" si="1630">SUM(AE1408:AE1414)</f>
        <v>-841882</v>
      </c>
      <c r="AF1415" s="460"/>
      <c r="AG1415" s="460">
        <f t="shared" ref="AG1415:AI1415" si="1631">SUM(AG1408:AG1414)</f>
        <v>-841882</v>
      </c>
      <c r="AH1415" s="460">
        <f t="shared" si="1631"/>
        <v>17979840</v>
      </c>
      <c r="AI1415" s="460">
        <f t="shared" si="1631"/>
        <v>16936216</v>
      </c>
      <c r="AJ1415" s="776">
        <f>AI1415/AH1415*100</f>
        <v>94.195587947389967</v>
      </c>
    </row>
    <row r="1416" spans="1:36" ht="14">
      <c r="A1416" s="40"/>
      <c r="B1416" s="40"/>
      <c r="C1416" s="124"/>
      <c r="D1416" s="124"/>
      <c r="E1416" s="124"/>
      <c r="F1416" s="41"/>
      <c r="G1416" s="41"/>
      <c r="H1416" s="163"/>
      <c r="I1416" s="125"/>
      <c r="J1416" s="524"/>
      <c r="K1416" s="525"/>
      <c r="L1416" s="526"/>
      <c r="M1416" s="526"/>
      <c r="N1416" s="526"/>
      <c r="O1416" s="526"/>
      <c r="P1416" s="526"/>
      <c r="Q1416" s="526"/>
      <c r="R1416" s="526"/>
      <c r="S1416" s="526"/>
      <c r="T1416" s="526"/>
      <c r="U1416" s="526"/>
      <c r="V1416" s="526"/>
      <c r="W1416" s="526"/>
      <c r="X1416" s="526"/>
      <c r="Y1416" s="526"/>
      <c r="Z1416" s="526"/>
      <c r="AA1416" s="526"/>
      <c r="AB1416" s="526"/>
      <c r="AC1416" s="526"/>
      <c r="AD1416" s="526"/>
      <c r="AE1416" s="526"/>
      <c r="AF1416" s="526"/>
      <c r="AG1416" s="526"/>
      <c r="AH1416" s="526"/>
      <c r="AI1416" s="526"/>
      <c r="AJ1416" s="779"/>
    </row>
    <row r="1417" spans="1:36" ht="14">
      <c r="A1417" s="40">
        <v>142</v>
      </c>
      <c r="B1417" s="40"/>
      <c r="C1417" s="124"/>
      <c r="D1417" s="124"/>
      <c r="E1417" s="124"/>
      <c r="F1417" s="522" t="s">
        <v>562</v>
      </c>
      <c r="G1417" s="41"/>
      <c r="H1417" s="63"/>
      <c r="I1417" s="41"/>
      <c r="J1417" s="680"/>
      <c r="K1417" s="679"/>
      <c r="L1417" s="678"/>
      <c r="M1417" s="678"/>
      <c r="N1417" s="678"/>
      <c r="O1417" s="678"/>
      <c r="P1417" s="678"/>
      <c r="Q1417" s="678"/>
      <c r="R1417" s="678"/>
      <c r="S1417" s="678"/>
      <c r="T1417" s="678"/>
      <c r="U1417" s="678"/>
      <c r="V1417" s="678"/>
      <c r="W1417" s="678"/>
      <c r="X1417" s="678"/>
      <c r="Y1417" s="678"/>
      <c r="Z1417" s="678"/>
      <c r="AA1417" s="678"/>
      <c r="AB1417" s="702"/>
      <c r="AC1417" s="702"/>
      <c r="AD1417" s="702"/>
      <c r="AE1417" s="702"/>
      <c r="AF1417" s="702"/>
      <c r="AG1417" s="702"/>
      <c r="AH1417" s="702"/>
      <c r="AI1417" s="702"/>
      <c r="AJ1417" s="780"/>
    </row>
    <row r="1418" spans="1:36" ht="14">
      <c r="A1418" s="40"/>
      <c r="B1418" s="40"/>
      <c r="C1418" s="124">
        <v>2</v>
      </c>
      <c r="D1418" s="124"/>
      <c r="E1418" s="124"/>
      <c r="F1418" s="41"/>
      <c r="G1418" s="41"/>
      <c r="H1418" s="162" t="s">
        <v>211</v>
      </c>
      <c r="I1418" s="66"/>
      <c r="J1418" s="680"/>
      <c r="K1418" s="679"/>
      <c r="L1418" s="678"/>
      <c r="M1418" s="678"/>
      <c r="N1418" s="678"/>
      <c r="O1418" s="678"/>
      <c r="P1418" s="678"/>
      <c r="Q1418" s="678"/>
      <c r="R1418" s="678"/>
      <c r="S1418" s="678"/>
      <c r="T1418" s="678"/>
      <c r="U1418" s="678"/>
      <c r="V1418" s="678"/>
      <c r="W1418" s="678"/>
      <c r="X1418" s="678"/>
      <c r="Y1418" s="678"/>
      <c r="Z1418" s="678"/>
      <c r="AA1418" s="678"/>
      <c r="AB1418" s="702"/>
      <c r="AC1418" s="702"/>
      <c r="AD1418" s="702"/>
      <c r="AE1418" s="702"/>
      <c r="AF1418" s="702"/>
      <c r="AG1418" s="702"/>
      <c r="AH1418" s="702"/>
      <c r="AI1418" s="702"/>
      <c r="AJ1418" s="780"/>
    </row>
    <row r="1419" spans="1:36" ht="14">
      <c r="A1419" s="40"/>
      <c r="B1419" s="40"/>
      <c r="C1419" s="124"/>
      <c r="D1419" s="124">
        <v>7</v>
      </c>
      <c r="E1419" s="124" t="s">
        <v>199</v>
      </c>
      <c r="F1419" s="41"/>
      <c r="G1419" s="41"/>
      <c r="H1419" s="66"/>
      <c r="I1419" s="125" t="s">
        <v>214</v>
      </c>
      <c r="J1419" s="524">
        <v>11940480</v>
      </c>
      <c r="K1419" s="525"/>
      <c r="L1419" s="526">
        <v>20000000</v>
      </c>
      <c r="M1419" s="526"/>
      <c r="N1419" s="526"/>
      <c r="O1419" s="526">
        <v>3000000</v>
      </c>
      <c r="P1419" s="526"/>
      <c r="Q1419" s="526">
        <v>-13000000</v>
      </c>
      <c r="R1419" s="526"/>
      <c r="S1419" s="217">
        <f t="shared" ref="S1419" si="1632">SUM(M1419:R1419)</f>
        <v>-10000000</v>
      </c>
      <c r="T1419" s="217">
        <f t="shared" ref="T1419" si="1633">S1419+L1419</f>
        <v>10000000</v>
      </c>
      <c r="U1419" s="526"/>
      <c r="V1419" s="526">
        <v>3863012</v>
      </c>
      <c r="W1419" s="526"/>
      <c r="X1419" s="526"/>
      <c r="Y1419" s="526"/>
      <c r="Z1419" s="217">
        <f>SUM(U1419:Y1419)</f>
        <v>3863012</v>
      </c>
      <c r="AA1419" s="217">
        <f>Z1419+T1419</f>
        <v>13863012</v>
      </c>
      <c r="AB1419" s="526"/>
      <c r="AC1419" s="526"/>
      <c r="AD1419" s="526"/>
      <c r="AE1419" s="526">
        <v>-3863012</v>
      </c>
      <c r="AF1419" s="526"/>
      <c r="AG1419" s="217">
        <f t="shared" ref="AG1419" si="1634">SUM(AB1419:AF1419)</f>
        <v>-3863012</v>
      </c>
      <c r="AH1419" s="217">
        <f t="shared" ref="AH1419" si="1635">AG1419+AA1419</f>
        <v>10000000</v>
      </c>
      <c r="AI1419" s="217">
        <v>9928276</v>
      </c>
      <c r="AJ1419" s="764">
        <f>AI1419/AH1419*100</f>
        <v>99.282759999999996</v>
      </c>
    </row>
    <row r="1420" spans="1:36" ht="8" customHeight="1">
      <c r="A1420" s="40"/>
      <c r="B1420" s="40"/>
      <c r="C1420" s="124"/>
      <c r="D1420" s="124"/>
      <c r="E1420" s="124"/>
      <c r="F1420" s="41"/>
      <c r="G1420" s="41"/>
      <c r="H1420" s="63"/>
      <c r="I1420" s="41"/>
      <c r="J1420" s="680"/>
      <c r="K1420" s="679"/>
      <c r="L1420" s="678"/>
      <c r="M1420" s="678"/>
      <c r="N1420" s="678"/>
      <c r="O1420" s="678"/>
      <c r="P1420" s="678"/>
      <c r="Q1420" s="678"/>
      <c r="R1420" s="678"/>
      <c r="S1420" s="526"/>
      <c r="T1420" s="526"/>
      <c r="U1420" s="678"/>
      <c r="V1420" s="678"/>
      <c r="W1420" s="678"/>
      <c r="X1420" s="678"/>
      <c r="Y1420" s="678"/>
      <c r="Z1420" s="526"/>
      <c r="AA1420" s="526"/>
      <c r="AB1420" s="702"/>
      <c r="AC1420" s="702"/>
      <c r="AD1420" s="702"/>
      <c r="AE1420" s="702"/>
      <c r="AF1420" s="702"/>
      <c r="AG1420" s="526"/>
      <c r="AH1420" s="526"/>
      <c r="AI1420" s="526"/>
      <c r="AJ1420" s="779"/>
    </row>
    <row r="1421" spans="1:36" ht="14">
      <c r="A1421" s="40"/>
      <c r="B1421" s="40"/>
      <c r="C1421" s="124"/>
      <c r="D1421" s="124"/>
      <c r="E1421" s="124"/>
      <c r="F1421" s="42"/>
      <c r="G1421" s="42"/>
      <c r="H1421" s="165"/>
      <c r="I1421" s="166" t="s">
        <v>37</v>
      </c>
      <c r="J1421" s="534">
        <f>SUM(J1417:J1420)</f>
        <v>11940480</v>
      </c>
      <c r="K1421" s="535">
        <f>SUM(K1417:K1420)</f>
        <v>0</v>
      </c>
      <c r="L1421" s="534">
        <f>SUM(L1416:L1420)</f>
        <v>20000000</v>
      </c>
      <c r="M1421" s="534">
        <f t="shared" ref="M1421:T1421" si="1636">SUM(M1416:M1420)</f>
        <v>0</v>
      </c>
      <c r="N1421" s="534">
        <f t="shared" si="1636"/>
        <v>0</v>
      </c>
      <c r="O1421" s="534">
        <f t="shared" si="1636"/>
        <v>3000000</v>
      </c>
      <c r="P1421" s="534">
        <f t="shared" si="1636"/>
        <v>0</v>
      </c>
      <c r="Q1421" s="534">
        <f t="shared" si="1636"/>
        <v>-13000000</v>
      </c>
      <c r="R1421" s="534">
        <f t="shared" si="1636"/>
        <v>0</v>
      </c>
      <c r="S1421" s="534">
        <f t="shared" si="1636"/>
        <v>-10000000</v>
      </c>
      <c r="T1421" s="534">
        <f t="shared" si="1636"/>
        <v>10000000</v>
      </c>
      <c r="U1421" s="534"/>
      <c r="V1421" s="534">
        <f t="shared" ref="V1421" si="1637">SUM(V1416:V1420)</f>
        <v>3863012</v>
      </c>
      <c r="W1421" s="534"/>
      <c r="X1421" s="534"/>
      <c r="Y1421" s="534"/>
      <c r="Z1421" s="534">
        <f t="shared" ref="Z1421:AA1421" si="1638">SUM(Z1416:Z1420)</f>
        <v>3863012</v>
      </c>
      <c r="AA1421" s="534">
        <f t="shared" si="1638"/>
        <v>13863012</v>
      </c>
      <c r="AB1421" s="534"/>
      <c r="AC1421" s="534">
        <f t="shared" ref="AC1421" si="1639">SUM(AC1416:AC1420)</f>
        <v>0</v>
      </c>
      <c r="AD1421" s="534"/>
      <c r="AE1421" s="534">
        <f t="shared" ref="AE1421:AI1421" si="1640">SUM(AE1416:AE1420)</f>
        <v>-3863012</v>
      </c>
      <c r="AF1421" s="534"/>
      <c r="AG1421" s="534">
        <f t="shared" si="1640"/>
        <v>-3863012</v>
      </c>
      <c r="AH1421" s="534">
        <f t="shared" si="1640"/>
        <v>10000000</v>
      </c>
      <c r="AI1421" s="534">
        <f t="shared" si="1640"/>
        <v>9928276</v>
      </c>
      <c r="AJ1421" s="776">
        <f>AI1421/AH1421*100</f>
        <v>99.282759999999996</v>
      </c>
    </row>
    <row r="1422" spans="1:36" ht="14">
      <c r="A1422" s="40"/>
      <c r="B1422" s="40"/>
      <c r="C1422" s="124"/>
      <c r="D1422" s="124"/>
      <c r="E1422" s="124"/>
      <c r="F1422" s="41"/>
      <c r="G1422" s="41"/>
      <c r="H1422" s="66"/>
      <c r="I1422" s="41"/>
      <c r="J1422" s="126"/>
      <c r="K1422" s="204"/>
      <c r="L1422" s="205"/>
      <c r="M1422" s="205"/>
      <c r="N1422" s="205"/>
      <c r="O1422" s="205"/>
      <c r="P1422" s="205"/>
      <c r="Q1422" s="205"/>
      <c r="R1422" s="205"/>
      <c r="S1422" s="205"/>
      <c r="T1422" s="205"/>
      <c r="U1422" s="205"/>
      <c r="V1422" s="205"/>
      <c r="W1422" s="205"/>
      <c r="X1422" s="205"/>
      <c r="Y1422" s="205"/>
      <c r="Z1422" s="205"/>
      <c r="AA1422" s="205"/>
      <c r="AB1422" s="205"/>
      <c r="AC1422" s="205"/>
      <c r="AD1422" s="205"/>
      <c r="AE1422" s="205"/>
      <c r="AF1422" s="205"/>
      <c r="AG1422" s="205"/>
      <c r="AH1422" s="205"/>
      <c r="AI1422" s="205"/>
      <c r="AJ1422" s="747"/>
    </row>
    <row r="1423" spans="1:36" ht="15.5" customHeight="1">
      <c r="A1423" s="40">
        <v>143</v>
      </c>
      <c r="B1423" s="40"/>
      <c r="C1423" s="124"/>
      <c r="D1423" s="124"/>
      <c r="E1423" s="124"/>
      <c r="F1423" s="41" t="s">
        <v>363</v>
      </c>
      <c r="G1423" s="41"/>
      <c r="H1423" s="66"/>
      <c r="I1423" s="41"/>
      <c r="J1423" s="126"/>
      <c r="K1423" s="204"/>
      <c r="L1423" s="205"/>
      <c r="M1423" s="205"/>
      <c r="N1423" s="205"/>
      <c r="O1423" s="205"/>
      <c r="P1423" s="205"/>
      <c r="Q1423" s="205"/>
      <c r="R1423" s="205"/>
      <c r="S1423" s="205"/>
      <c r="T1423" s="205"/>
      <c r="U1423" s="205"/>
      <c r="V1423" s="205"/>
      <c r="W1423" s="205"/>
      <c r="X1423" s="205"/>
      <c r="Y1423" s="205"/>
      <c r="Z1423" s="205"/>
      <c r="AA1423" s="205"/>
      <c r="AB1423" s="205"/>
      <c r="AC1423" s="205"/>
      <c r="AD1423" s="205"/>
      <c r="AE1423" s="205"/>
      <c r="AF1423" s="205"/>
      <c r="AG1423" s="205"/>
      <c r="AH1423" s="205"/>
      <c r="AI1423" s="205"/>
      <c r="AJ1423" s="747"/>
    </row>
    <row r="1424" spans="1:36" ht="15.5" customHeight="1">
      <c r="A1424" s="160"/>
      <c r="B1424" s="160"/>
      <c r="C1424" s="161">
        <v>1</v>
      </c>
      <c r="D1424" s="161"/>
      <c r="E1424" s="161"/>
      <c r="F1424" s="41"/>
      <c r="G1424" s="41"/>
      <c r="H1424" s="66" t="s">
        <v>35</v>
      </c>
      <c r="I1424" s="41"/>
      <c r="J1424" s="205"/>
      <c r="K1424" s="467"/>
      <c r="L1424" s="205"/>
      <c r="M1424" s="205"/>
      <c r="N1424" s="205"/>
      <c r="O1424" s="205"/>
      <c r="P1424" s="205"/>
      <c r="Q1424" s="205"/>
      <c r="R1424" s="205"/>
      <c r="S1424" s="205"/>
      <c r="T1424" s="205"/>
      <c r="U1424" s="205"/>
      <c r="V1424" s="205"/>
      <c r="W1424" s="205"/>
      <c r="X1424" s="205"/>
      <c r="Y1424" s="205"/>
      <c r="Z1424" s="205"/>
      <c r="AA1424" s="205"/>
      <c r="AB1424" s="205"/>
      <c r="AC1424" s="205"/>
      <c r="AD1424" s="205"/>
      <c r="AE1424" s="205"/>
      <c r="AF1424" s="205"/>
      <c r="AG1424" s="205"/>
      <c r="AH1424" s="205"/>
      <c r="AI1424" s="205"/>
      <c r="AJ1424" s="747"/>
    </row>
    <row r="1425" spans="1:36" ht="15.5" customHeight="1">
      <c r="A1425" s="160"/>
      <c r="B1425" s="160"/>
      <c r="C1425" s="161"/>
      <c r="D1425" s="161">
        <v>3</v>
      </c>
      <c r="E1425" s="161" t="s">
        <v>199</v>
      </c>
      <c r="F1425" s="41"/>
      <c r="G1425" s="41"/>
      <c r="H1425" s="66"/>
      <c r="I1425" s="335" t="s">
        <v>116</v>
      </c>
      <c r="J1425" s="205"/>
      <c r="K1425" s="467"/>
      <c r="L1425" s="205"/>
      <c r="M1425" s="205"/>
      <c r="N1425" s="205"/>
      <c r="O1425" s="205"/>
      <c r="P1425" s="205"/>
      <c r="Q1425" s="220">
        <v>108268</v>
      </c>
      <c r="R1425" s="205"/>
      <c r="S1425" s="217">
        <f t="shared" ref="S1425" si="1641">SUM(M1425:R1425)</f>
        <v>108268</v>
      </c>
      <c r="T1425" s="217">
        <f t="shared" ref="T1425" si="1642">S1425+L1425</f>
        <v>108268</v>
      </c>
      <c r="U1425" s="205"/>
      <c r="V1425" s="205"/>
      <c r="W1425" s="205"/>
      <c r="X1425" s="220"/>
      <c r="Y1425" s="205"/>
      <c r="Z1425" s="217">
        <f>SUM(U1425:Y1425)</f>
        <v>0</v>
      </c>
      <c r="AA1425" s="217">
        <f>Z1425+T1425</f>
        <v>108268</v>
      </c>
      <c r="AB1425" s="205"/>
      <c r="AC1425" s="205"/>
      <c r="AD1425" s="205"/>
      <c r="AE1425" s="220"/>
      <c r="AF1425" s="205"/>
      <c r="AG1425" s="217">
        <f t="shared" ref="AG1425" si="1643">SUM(AB1425:AF1425)</f>
        <v>0</v>
      </c>
      <c r="AH1425" s="217">
        <f t="shared" ref="AH1425" si="1644">AG1425+AA1425</f>
        <v>108268</v>
      </c>
      <c r="AI1425" s="217">
        <v>108268</v>
      </c>
      <c r="AJ1425" s="764">
        <f>AI1425/AH1425*100</f>
        <v>100</v>
      </c>
    </row>
    <row r="1426" spans="1:36" ht="15.5" customHeight="1">
      <c r="A1426" s="40"/>
      <c r="B1426" s="40"/>
      <c r="C1426" s="124">
        <v>2</v>
      </c>
      <c r="D1426" s="124"/>
      <c r="E1426" s="124"/>
      <c r="F1426" s="41"/>
      <c r="G1426" s="41"/>
      <c r="H1426" s="162" t="s">
        <v>211</v>
      </c>
      <c r="I1426" s="66"/>
      <c r="J1426" s="126"/>
      <c r="K1426" s="204"/>
      <c r="L1426" s="205"/>
      <c r="M1426" s="205"/>
      <c r="N1426" s="205"/>
      <c r="O1426" s="205"/>
      <c r="P1426" s="205"/>
      <c r="Q1426" s="205"/>
      <c r="R1426" s="205"/>
      <c r="S1426" s="205"/>
      <c r="T1426" s="205"/>
      <c r="U1426" s="205"/>
      <c r="V1426" s="205"/>
      <c r="W1426" s="205"/>
      <c r="X1426" s="205"/>
      <c r="Y1426" s="205"/>
      <c r="Z1426" s="205"/>
      <c r="AA1426" s="205"/>
      <c r="AB1426" s="205"/>
      <c r="AC1426" s="205"/>
      <c r="AD1426" s="205"/>
      <c r="AE1426" s="205"/>
      <c r="AF1426" s="205"/>
      <c r="AG1426" s="205"/>
      <c r="AH1426" s="205"/>
      <c r="AI1426" s="205"/>
      <c r="AJ1426" s="747"/>
    </row>
    <row r="1427" spans="1:36" ht="15.5" customHeight="1">
      <c r="A1427" s="40"/>
      <c r="B1427" s="40"/>
      <c r="C1427" s="124"/>
      <c r="D1427" s="124">
        <v>7</v>
      </c>
      <c r="E1427" s="124" t="s">
        <v>199</v>
      </c>
      <c r="F1427" s="41"/>
      <c r="G1427" s="41"/>
      <c r="H1427" s="66"/>
      <c r="I1427" s="125" t="s">
        <v>214</v>
      </c>
      <c r="J1427" s="452"/>
      <c r="K1427" s="453">
        <v>5000000</v>
      </c>
      <c r="L1427" s="454">
        <f>SUM(J1427:K1427)</f>
        <v>5000000</v>
      </c>
      <c r="M1427" s="454">
        <v>3320227</v>
      </c>
      <c r="N1427" s="454"/>
      <c r="O1427" s="454"/>
      <c r="P1427" s="454"/>
      <c r="Q1427" s="454">
        <v>273880</v>
      </c>
      <c r="R1427" s="454"/>
      <c r="S1427" s="217">
        <f t="shared" ref="S1427" si="1645">SUM(M1427:R1427)</f>
        <v>3594107</v>
      </c>
      <c r="T1427" s="217">
        <f t="shared" ref="T1427" si="1646">S1427+L1427</f>
        <v>8594107</v>
      </c>
      <c r="U1427" s="454"/>
      <c r="V1427" s="454"/>
      <c r="W1427" s="454"/>
      <c r="X1427" s="454">
        <v>1500842</v>
      </c>
      <c r="Y1427" s="454"/>
      <c r="Z1427" s="217">
        <f>SUM(U1427:Y1427)</f>
        <v>1500842</v>
      </c>
      <c r="AA1427" s="217">
        <f>Z1427+T1427</f>
        <v>10094949</v>
      </c>
      <c r="AB1427" s="454"/>
      <c r="AC1427" s="454"/>
      <c r="AD1427" s="454"/>
      <c r="AE1427" s="454">
        <v>18548227</v>
      </c>
      <c r="AF1427" s="454"/>
      <c r="AG1427" s="217">
        <f t="shared" ref="AG1427" si="1647">SUM(AB1427:AF1427)</f>
        <v>18548227</v>
      </c>
      <c r="AH1427" s="217">
        <f t="shared" ref="AH1427" si="1648">AG1427+AA1427</f>
        <v>28643176</v>
      </c>
      <c r="AI1427" s="217">
        <v>25002505</v>
      </c>
      <c r="AJ1427" s="764">
        <f>AI1427/AH1427*100</f>
        <v>87.289569424843123</v>
      </c>
    </row>
    <row r="1428" spans="1:36" ht="15.5" customHeight="1">
      <c r="A1428" s="40"/>
      <c r="B1428" s="40"/>
      <c r="C1428" s="124"/>
      <c r="D1428" s="124"/>
      <c r="E1428" s="124"/>
      <c r="F1428" s="41"/>
      <c r="G1428" s="41"/>
      <c r="H1428" s="66"/>
      <c r="I1428" s="66"/>
      <c r="J1428" s="126"/>
      <c r="K1428" s="204"/>
      <c r="L1428" s="205"/>
      <c r="M1428" s="205"/>
      <c r="N1428" s="205"/>
      <c r="O1428" s="205"/>
      <c r="P1428" s="205"/>
      <c r="Q1428" s="205"/>
      <c r="R1428" s="205"/>
      <c r="S1428" s="205"/>
      <c r="T1428" s="205"/>
      <c r="U1428" s="205"/>
      <c r="V1428" s="205"/>
      <c r="W1428" s="205"/>
      <c r="X1428" s="205"/>
      <c r="Y1428" s="205"/>
      <c r="Z1428" s="205"/>
      <c r="AA1428" s="205"/>
      <c r="AB1428" s="205"/>
      <c r="AC1428" s="205"/>
      <c r="AD1428" s="205"/>
      <c r="AE1428" s="205"/>
      <c r="AF1428" s="205"/>
      <c r="AG1428" s="205"/>
      <c r="AH1428" s="205"/>
      <c r="AI1428" s="205"/>
      <c r="AJ1428" s="747"/>
    </row>
    <row r="1429" spans="1:36" ht="15.5" customHeight="1">
      <c r="A1429" s="40"/>
      <c r="B1429" s="40"/>
      <c r="C1429" s="124"/>
      <c r="D1429" s="124"/>
      <c r="E1429" s="124"/>
      <c r="F1429" s="166"/>
      <c r="G1429" s="166"/>
      <c r="H1429" s="464"/>
      <c r="I1429" s="166" t="s">
        <v>37</v>
      </c>
      <c r="J1429" s="460"/>
      <c r="K1429" s="461">
        <f>SUM(K1422:K1428)</f>
        <v>5000000</v>
      </c>
      <c r="L1429" s="460">
        <f>SUM(L1422:L1428)</f>
        <v>5000000</v>
      </c>
      <c r="M1429" s="460">
        <f t="shared" ref="M1429:T1429" si="1649">SUM(M1422:M1428)</f>
        <v>3320227</v>
      </c>
      <c r="N1429" s="460">
        <f t="shared" si="1649"/>
        <v>0</v>
      </c>
      <c r="O1429" s="460">
        <f t="shared" si="1649"/>
        <v>0</v>
      </c>
      <c r="P1429" s="460">
        <f t="shared" si="1649"/>
        <v>0</v>
      </c>
      <c r="Q1429" s="460">
        <f t="shared" si="1649"/>
        <v>382148</v>
      </c>
      <c r="R1429" s="460">
        <f t="shared" si="1649"/>
        <v>0</v>
      </c>
      <c r="S1429" s="460">
        <f t="shared" si="1649"/>
        <v>3702375</v>
      </c>
      <c r="T1429" s="460">
        <f t="shared" si="1649"/>
        <v>8702375</v>
      </c>
      <c r="U1429" s="460"/>
      <c r="V1429" s="460"/>
      <c r="W1429" s="460"/>
      <c r="X1429" s="460">
        <f t="shared" ref="X1429:AA1429" si="1650">SUM(X1422:X1428)</f>
        <v>1500842</v>
      </c>
      <c r="Y1429" s="460"/>
      <c r="Z1429" s="460">
        <f t="shared" si="1650"/>
        <v>1500842</v>
      </c>
      <c r="AA1429" s="460">
        <f t="shared" si="1650"/>
        <v>10203217</v>
      </c>
      <c r="AB1429" s="460"/>
      <c r="AC1429" s="460"/>
      <c r="AD1429" s="460"/>
      <c r="AE1429" s="460">
        <f t="shared" ref="AE1429" si="1651">SUM(AE1422:AE1428)</f>
        <v>18548227</v>
      </c>
      <c r="AF1429" s="460"/>
      <c r="AG1429" s="460">
        <f t="shared" ref="AG1429:AI1429" si="1652">SUM(AG1422:AG1428)</f>
        <v>18548227</v>
      </c>
      <c r="AH1429" s="460">
        <f t="shared" si="1652"/>
        <v>28751444</v>
      </c>
      <c r="AI1429" s="460">
        <f t="shared" si="1652"/>
        <v>25110773</v>
      </c>
      <c r="AJ1429" s="776">
        <f>AI1429/AH1429*100</f>
        <v>87.33743251295482</v>
      </c>
    </row>
    <row r="1430" spans="1:36" ht="15.5" customHeight="1">
      <c r="A1430" s="40"/>
      <c r="B1430" s="40"/>
      <c r="C1430" s="124"/>
      <c r="D1430" s="124"/>
      <c r="E1430" s="124"/>
      <c r="F1430" s="41"/>
      <c r="G1430" s="41"/>
      <c r="H1430" s="66"/>
      <c r="I1430" s="41"/>
      <c r="J1430" s="126"/>
      <c r="K1430" s="204"/>
      <c r="L1430" s="205"/>
      <c r="M1430" s="205"/>
      <c r="N1430" s="205"/>
      <c r="O1430" s="205"/>
      <c r="P1430" s="205"/>
      <c r="Q1430" s="205"/>
      <c r="R1430" s="205"/>
      <c r="S1430" s="205"/>
      <c r="T1430" s="205"/>
      <c r="U1430" s="205"/>
      <c r="V1430" s="205"/>
      <c r="W1430" s="205"/>
      <c r="X1430" s="205"/>
      <c r="Y1430" s="205"/>
      <c r="Z1430" s="205"/>
      <c r="AA1430" s="205"/>
      <c r="AB1430" s="205"/>
      <c r="AC1430" s="205"/>
      <c r="AD1430" s="205"/>
      <c r="AE1430" s="205"/>
      <c r="AF1430" s="205"/>
      <c r="AG1430" s="205"/>
      <c r="AH1430" s="205"/>
      <c r="AI1430" s="205"/>
      <c r="AJ1430" s="747"/>
    </row>
    <row r="1431" spans="1:36" ht="15.5" customHeight="1">
      <c r="A1431" s="40">
        <v>144</v>
      </c>
      <c r="B1431" s="40"/>
      <c r="C1431" s="124"/>
      <c r="D1431" s="124"/>
      <c r="E1431" s="124"/>
      <c r="F1431" s="41" t="s">
        <v>645</v>
      </c>
      <c r="G1431" s="41"/>
      <c r="H1431" s="66"/>
      <c r="I1431" s="41"/>
      <c r="J1431" s="126"/>
      <c r="K1431" s="204"/>
      <c r="L1431" s="205"/>
      <c r="M1431" s="205"/>
      <c r="N1431" s="205"/>
      <c r="O1431" s="205"/>
      <c r="P1431" s="205"/>
      <c r="Q1431" s="205"/>
      <c r="R1431" s="205"/>
      <c r="S1431" s="205"/>
      <c r="T1431" s="205"/>
      <c r="U1431" s="205"/>
      <c r="V1431" s="205"/>
      <c r="W1431" s="205"/>
      <c r="X1431" s="205"/>
      <c r="Y1431" s="205"/>
      <c r="Z1431" s="205"/>
      <c r="AA1431" s="205"/>
      <c r="AB1431" s="205"/>
      <c r="AC1431" s="205"/>
      <c r="AD1431" s="205"/>
      <c r="AE1431" s="205"/>
      <c r="AF1431" s="205"/>
      <c r="AG1431" s="205"/>
      <c r="AH1431" s="205"/>
      <c r="AI1431" s="205"/>
      <c r="AJ1431" s="747"/>
    </row>
    <row r="1432" spans="1:36" ht="15.5" customHeight="1">
      <c r="A1432" s="40"/>
      <c r="B1432" s="40"/>
      <c r="C1432" s="124">
        <v>2</v>
      </c>
      <c r="D1432" s="124"/>
      <c r="E1432" s="124"/>
      <c r="F1432" s="41"/>
      <c r="G1432" s="41"/>
      <c r="H1432" s="162" t="s">
        <v>211</v>
      </c>
      <c r="I1432" s="66"/>
      <c r="J1432" s="126"/>
      <c r="K1432" s="204"/>
      <c r="L1432" s="205"/>
      <c r="M1432" s="205"/>
      <c r="N1432" s="205"/>
      <c r="O1432" s="205"/>
      <c r="P1432" s="205"/>
      <c r="Q1432" s="205"/>
      <c r="R1432" s="205"/>
      <c r="S1432" s="205"/>
      <c r="T1432" s="205"/>
      <c r="U1432" s="205"/>
      <c r="V1432" s="205"/>
      <c r="W1432" s="205"/>
      <c r="X1432" s="205"/>
      <c r="Y1432" s="205"/>
      <c r="Z1432" s="205"/>
      <c r="AA1432" s="205"/>
      <c r="AB1432" s="205"/>
      <c r="AC1432" s="205"/>
      <c r="AD1432" s="205"/>
      <c r="AE1432" s="205"/>
      <c r="AF1432" s="205"/>
      <c r="AG1432" s="205"/>
      <c r="AH1432" s="205"/>
      <c r="AI1432" s="205"/>
      <c r="AJ1432" s="747"/>
    </row>
    <row r="1433" spans="1:36" ht="15.5" customHeight="1">
      <c r="A1433" s="40"/>
      <c r="B1433" s="40"/>
      <c r="C1433" s="124"/>
      <c r="D1433" s="124">
        <v>7</v>
      </c>
      <c r="E1433" s="124" t="s">
        <v>199</v>
      </c>
      <c r="F1433" s="41"/>
      <c r="G1433" s="41"/>
      <c r="H1433" s="66"/>
      <c r="I1433" s="125" t="s">
        <v>214</v>
      </c>
      <c r="J1433" s="452"/>
      <c r="K1433" s="453">
        <v>405597540</v>
      </c>
      <c r="L1433" s="454">
        <f>SUM(K1433)</f>
        <v>405597540</v>
      </c>
      <c r="M1433" s="454"/>
      <c r="N1433" s="454"/>
      <c r="O1433" s="454"/>
      <c r="P1433" s="454"/>
      <c r="Q1433" s="454"/>
      <c r="R1433" s="454"/>
      <c r="S1433" s="217">
        <f t="shared" ref="S1433" si="1653">SUM(M1433:R1433)</f>
        <v>0</v>
      </c>
      <c r="T1433" s="217">
        <f t="shared" ref="T1433" si="1654">S1433+L1433</f>
        <v>405597540</v>
      </c>
      <c r="U1433" s="454"/>
      <c r="V1433" s="454"/>
      <c r="W1433" s="454"/>
      <c r="X1433" s="454"/>
      <c r="Y1433" s="454"/>
      <c r="Z1433" s="217">
        <f>SUM(U1433:Y1433)</f>
        <v>0</v>
      </c>
      <c r="AA1433" s="217">
        <f>Z1433+T1433</f>
        <v>405597540</v>
      </c>
      <c r="AB1433" s="454"/>
      <c r="AC1433" s="454"/>
      <c r="AD1433" s="454"/>
      <c r="AE1433" s="454">
        <v>-47344909</v>
      </c>
      <c r="AF1433" s="454"/>
      <c r="AG1433" s="217">
        <f t="shared" ref="AG1433" si="1655">SUM(AB1433:AF1433)</f>
        <v>-47344909</v>
      </c>
      <c r="AH1433" s="217">
        <f t="shared" ref="AH1433" si="1656">AG1433+AA1433</f>
        <v>358252631</v>
      </c>
      <c r="AI1433" s="217">
        <v>135955669</v>
      </c>
      <c r="AJ1433" s="764">
        <f>AI1433/AH1433*100</f>
        <v>37.949663794653333</v>
      </c>
    </row>
    <row r="1434" spans="1:36" ht="14">
      <c r="A1434" s="40"/>
      <c r="B1434" s="40"/>
      <c r="C1434" s="124"/>
      <c r="D1434" s="124"/>
      <c r="E1434" s="124"/>
      <c r="F1434" s="41"/>
      <c r="G1434" s="41"/>
      <c r="H1434" s="66"/>
      <c r="I1434" s="66"/>
      <c r="J1434" s="126"/>
      <c r="K1434" s="204"/>
      <c r="L1434" s="454"/>
      <c r="M1434" s="454"/>
      <c r="N1434" s="454"/>
      <c r="O1434" s="454"/>
      <c r="P1434" s="454"/>
      <c r="Q1434" s="454"/>
      <c r="R1434" s="454"/>
      <c r="S1434" s="454"/>
      <c r="T1434" s="454"/>
      <c r="U1434" s="454"/>
      <c r="V1434" s="454"/>
      <c r="W1434" s="454"/>
      <c r="X1434" s="454"/>
      <c r="Y1434" s="454"/>
      <c r="Z1434" s="454"/>
      <c r="AA1434" s="454"/>
      <c r="AB1434" s="454"/>
      <c r="AC1434" s="454"/>
      <c r="AD1434" s="454"/>
      <c r="AE1434" s="454"/>
      <c r="AF1434" s="454"/>
      <c r="AG1434" s="454"/>
      <c r="AH1434" s="454"/>
      <c r="AI1434" s="454"/>
      <c r="AJ1434" s="769"/>
    </row>
    <row r="1435" spans="1:36" ht="14">
      <c r="A1435" s="40"/>
      <c r="B1435" s="40"/>
      <c r="C1435" s="124"/>
      <c r="D1435" s="124"/>
      <c r="E1435" s="124"/>
      <c r="F1435" s="166"/>
      <c r="G1435" s="166"/>
      <c r="H1435" s="464"/>
      <c r="I1435" s="166" t="s">
        <v>37</v>
      </c>
      <c r="J1435" s="460"/>
      <c r="K1435" s="461">
        <f>SUM(K1433:K1434)</f>
        <v>405597540</v>
      </c>
      <c r="L1435" s="460">
        <f>SUM(L1433:L1434)</f>
        <v>405597540</v>
      </c>
      <c r="M1435" s="460">
        <f t="shared" ref="M1435:T1435" si="1657">SUM(M1433:M1434)</f>
        <v>0</v>
      </c>
      <c r="N1435" s="460">
        <f t="shared" si="1657"/>
        <v>0</v>
      </c>
      <c r="O1435" s="460">
        <f t="shared" si="1657"/>
        <v>0</v>
      </c>
      <c r="P1435" s="460">
        <f t="shared" si="1657"/>
        <v>0</v>
      </c>
      <c r="Q1435" s="460">
        <f t="shared" si="1657"/>
        <v>0</v>
      </c>
      <c r="R1435" s="460">
        <f t="shared" si="1657"/>
        <v>0</v>
      </c>
      <c r="S1435" s="460">
        <f t="shared" si="1657"/>
        <v>0</v>
      </c>
      <c r="T1435" s="460">
        <f t="shared" si="1657"/>
        <v>405597540</v>
      </c>
      <c r="U1435" s="460"/>
      <c r="V1435" s="460"/>
      <c r="W1435" s="460"/>
      <c r="X1435" s="460"/>
      <c r="Y1435" s="460"/>
      <c r="Z1435" s="460">
        <f t="shared" ref="Z1435:AA1435" si="1658">SUM(Z1433:Z1434)</f>
        <v>0</v>
      </c>
      <c r="AA1435" s="460">
        <f t="shared" si="1658"/>
        <v>405597540</v>
      </c>
      <c r="AB1435" s="460"/>
      <c r="AC1435" s="460"/>
      <c r="AD1435" s="460"/>
      <c r="AE1435" s="460">
        <f t="shared" ref="AE1435:AI1435" si="1659">SUM(AE1433:AE1434)</f>
        <v>-47344909</v>
      </c>
      <c r="AF1435" s="460"/>
      <c r="AG1435" s="460">
        <f t="shared" si="1659"/>
        <v>-47344909</v>
      </c>
      <c r="AH1435" s="460">
        <f t="shared" si="1659"/>
        <v>358252631</v>
      </c>
      <c r="AI1435" s="460">
        <f t="shared" si="1659"/>
        <v>135955669</v>
      </c>
      <c r="AJ1435" s="776">
        <f>AI1435/AH1435*100</f>
        <v>37.949663794653333</v>
      </c>
    </row>
    <row r="1436" spans="1:36" ht="14">
      <c r="A1436" s="40"/>
      <c r="B1436" s="40"/>
      <c r="C1436" s="124"/>
      <c r="D1436" s="124"/>
      <c r="E1436" s="124"/>
      <c r="F1436" s="41"/>
      <c r="G1436" s="41"/>
      <c r="H1436" s="66"/>
      <c r="I1436" s="41"/>
      <c r="J1436" s="126"/>
      <c r="K1436" s="204"/>
      <c r="L1436" s="205"/>
      <c r="M1436" s="205"/>
      <c r="N1436" s="205"/>
      <c r="O1436" s="205"/>
      <c r="P1436" s="205"/>
      <c r="Q1436" s="205"/>
      <c r="R1436" s="205"/>
      <c r="S1436" s="205"/>
      <c r="T1436" s="205"/>
      <c r="U1436" s="205"/>
      <c r="V1436" s="205"/>
      <c r="W1436" s="205"/>
      <c r="X1436" s="205"/>
      <c r="Y1436" s="205"/>
      <c r="Z1436" s="205"/>
      <c r="AA1436" s="205"/>
      <c r="AB1436" s="205"/>
      <c r="AC1436" s="205"/>
      <c r="AD1436" s="205"/>
      <c r="AE1436" s="205"/>
      <c r="AF1436" s="205"/>
      <c r="AG1436" s="205"/>
      <c r="AH1436" s="205"/>
      <c r="AI1436" s="205"/>
      <c r="AJ1436" s="747"/>
    </row>
    <row r="1437" spans="1:36" ht="14">
      <c r="A1437" s="40">
        <v>145</v>
      </c>
      <c r="B1437" s="40"/>
      <c r="C1437" s="124"/>
      <c r="D1437" s="124"/>
      <c r="E1437" s="124"/>
      <c r="F1437" s="41" t="s">
        <v>152</v>
      </c>
      <c r="G1437" s="41"/>
      <c r="H1437" s="66"/>
      <c r="I1437" s="41"/>
      <c r="J1437" s="126"/>
      <c r="K1437" s="204"/>
      <c r="L1437" s="205"/>
      <c r="M1437" s="205"/>
      <c r="N1437" s="205"/>
      <c r="O1437" s="205"/>
      <c r="P1437" s="205"/>
      <c r="Q1437" s="205"/>
      <c r="R1437" s="205"/>
      <c r="S1437" s="205"/>
      <c r="T1437" s="205"/>
      <c r="U1437" s="205"/>
      <c r="V1437" s="205"/>
      <c r="W1437" s="205"/>
      <c r="X1437" s="205"/>
      <c r="Y1437" s="205"/>
      <c r="Z1437" s="205"/>
      <c r="AA1437" s="205"/>
      <c r="AB1437" s="205"/>
      <c r="AC1437" s="205"/>
      <c r="AD1437" s="205"/>
      <c r="AE1437" s="205"/>
      <c r="AF1437" s="205"/>
      <c r="AG1437" s="205"/>
      <c r="AH1437" s="205"/>
      <c r="AI1437" s="205"/>
      <c r="AJ1437" s="747"/>
    </row>
    <row r="1438" spans="1:36" ht="14">
      <c r="A1438" s="40"/>
      <c r="B1438" s="40"/>
      <c r="C1438" s="124">
        <v>2</v>
      </c>
      <c r="D1438" s="124"/>
      <c r="E1438" s="124"/>
      <c r="F1438" s="41"/>
      <c r="G1438" s="41"/>
      <c r="H1438" s="162" t="s">
        <v>211</v>
      </c>
      <c r="I1438" s="66"/>
      <c r="J1438" s="126"/>
      <c r="K1438" s="204"/>
      <c r="L1438" s="454"/>
      <c r="M1438" s="454"/>
      <c r="N1438" s="454"/>
      <c r="O1438" s="454"/>
      <c r="P1438" s="454"/>
      <c r="Q1438" s="454"/>
      <c r="R1438" s="454"/>
      <c r="S1438" s="454"/>
      <c r="T1438" s="454"/>
      <c r="U1438" s="454"/>
      <c r="V1438" s="454"/>
      <c r="W1438" s="454"/>
      <c r="X1438" s="454"/>
      <c r="Y1438" s="454"/>
      <c r="Z1438" s="454"/>
      <c r="AA1438" s="454"/>
      <c r="AB1438" s="454"/>
      <c r="AC1438" s="454"/>
      <c r="AD1438" s="454"/>
      <c r="AE1438" s="454"/>
      <c r="AF1438" s="454"/>
      <c r="AG1438" s="454"/>
      <c r="AH1438" s="454"/>
      <c r="AI1438" s="454"/>
      <c r="AJ1438" s="769"/>
    </row>
    <row r="1439" spans="1:36" ht="14">
      <c r="A1439" s="40"/>
      <c r="B1439" s="40"/>
      <c r="C1439" s="124"/>
      <c r="D1439" s="124">
        <v>7</v>
      </c>
      <c r="E1439" s="124" t="s">
        <v>199</v>
      </c>
      <c r="F1439" s="41"/>
      <c r="G1439" s="41"/>
      <c r="H1439" s="66"/>
      <c r="I1439" s="125" t="s">
        <v>214</v>
      </c>
      <c r="J1439" s="452"/>
      <c r="K1439" s="453">
        <v>5000000</v>
      </c>
      <c r="L1439" s="454">
        <f>SUM(K1439)</f>
        <v>5000000</v>
      </c>
      <c r="M1439" s="454"/>
      <c r="N1439" s="454"/>
      <c r="O1439" s="454"/>
      <c r="P1439" s="454"/>
      <c r="Q1439" s="454"/>
      <c r="R1439" s="454"/>
      <c r="S1439" s="217">
        <f t="shared" ref="S1439" si="1660">SUM(M1439:R1439)</f>
        <v>0</v>
      </c>
      <c r="T1439" s="217">
        <f t="shared" ref="T1439" si="1661">S1439+L1439</f>
        <v>5000000</v>
      </c>
      <c r="U1439" s="454"/>
      <c r="V1439" s="454"/>
      <c r="W1439" s="454"/>
      <c r="X1439" s="454"/>
      <c r="Y1439" s="454"/>
      <c r="Z1439" s="217">
        <f>SUM(U1439:Y1439)</f>
        <v>0</v>
      </c>
      <c r="AA1439" s="217">
        <f>Z1439+T1439</f>
        <v>5000000</v>
      </c>
      <c r="AB1439" s="454"/>
      <c r="AC1439" s="454"/>
      <c r="AD1439" s="454"/>
      <c r="AE1439" s="454"/>
      <c r="AF1439" s="454"/>
      <c r="AG1439" s="217">
        <f t="shared" ref="AG1439" si="1662">SUM(AB1439:AF1439)</f>
        <v>0</v>
      </c>
      <c r="AH1439" s="217">
        <f t="shared" ref="AH1439" si="1663">AG1439+AA1439</f>
        <v>5000000</v>
      </c>
      <c r="AI1439" s="217">
        <v>5000000</v>
      </c>
      <c r="AJ1439" s="764">
        <f>AI1439/AH1439*100</f>
        <v>100</v>
      </c>
    </row>
    <row r="1440" spans="1:36" ht="6.5" customHeight="1">
      <c r="A1440" s="40"/>
      <c r="B1440" s="40"/>
      <c r="C1440" s="124"/>
      <c r="D1440" s="124"/>
      <c r="E1440" s="124"/>
      <c r="F1440" s="41"/>
      <c r="G1440" s="41"/>
      <c r="H1440" s="66"/>
      <c r="I1440" s="66"/>
      <c r="J1440" s="126"/>
      <c r="K1440" s="204"/>
      <c r="L1440" s="454"/>
      <c r="M1440" s="454"/>
      <c r="N1440" s="454"/>
      <c r="O1440" s="454"/>
      <c r="P1440" s="454"/>
      <c r="Q1440" s="454"/>
      <c r="R1440" s="454"/>
      <c r="S1440" s="454"/>
      <c r="T1440" s="454"/>
      <c r="U1440" s="454"/>
      <c r="V1440" s="454"/>
      <c r="W1440" s="454"/>
      <c r="X1440" s="454"/>
      <c r="Y1440" s="454"/>
      <c r="Z1440" s="454"/>
      <c r="AA1440" s="454"/>
      <c r="AB1440" s="454"/>
      <c r="AC1440" s="454"/>
      <c r="AD1440" s="454"/>
      <c r="AE1440" s="454"/>
      <c r="AF1440" s="454"/>
      <c r="AG1440" s="454"/>
      <c r="AH1440" s="454"/>
      <c r="AI1440" s="454"/>
      <c r="AJ1440" s="769"/>
    </row>
    <row r="1441" spans="1:36" ht="14">
      <c r="A1441" s="40"/>
      <c r="B1441" s="40"/>
      <c r="C1441" s="124"/>
      <c r="D1441" s="124"/>
      <c r="E1441" s="124"/>
      <c r="F1441" s="166"/>
      <c r="G1441" s="166"/>
      <c r="H1441" s="464"/>
      <c r="I1441" s="166" t="s">
        <v>37</v>
      </c>
      <c r="J1441" s="460"/>
      <c r="K1441" s="461">
        <f>SUM(K1438:K1440)</f>
        <v>5000000</v>
      </c>
      <c r="L1441" s="460">
        <f>SUM(L1438:L1440)</f>
        <v>5000000</v>
      </c>
      <c r="M1441" s="460">
        <f t="shared" ref="M1441:T1441" si="1664">SUM(M1438:M1440)</f>
        <v>0</v>
      </c>
      <c r="N1441" s="460">
        <f t="shared" si="1664"/>
        <v>0</v>
      </c>
      <c r="O1441" s="460">
        <f t="shared" si="1664"/>
        <v>0</v>
      </c>
      <c r="P1441" s="460">
        <f t="shared" si="1664"/>
        <v>0</v>
      </c>
      <c r="Q1441" s="460">
        <f t="shared" si="1664"/>
        <v>0</v>
      </c>
      <c r="R1441" s="460">
        <f t="shared" si="1664"/>
        <v>0</v>
      </c>
      <c r="S1441" s="460">
        <f t="shared" si="1664"/>
        <v>0</v>
      </c>
      <c r="T1441" s="460">
        <f t="shared" si="1664"/>
        <v>5000000</v>
      </c>
      <c r="U1441" s="460"/>
      <c r="V1441" s="460"/>
      <c r="W1441" s="460"/>
      <c r="X1441" s="460"/>
      <c r="Y1441" s="460"/>
      <c r="Z1441" s="460">
        <f t="shared" ref="Z1441:AA1441" si="1665">SUM(Z1438:Z1440)</f>
        <v>0</v>
      </c>
      <c r="AA1441" s="460">
        <f t="shared" si="1665"/>
        <v>5000000</v>
      </c>
      <c r="AB1441" s="460"/>
      <c r="AC1441" s="460"/>
      <c r="AD1441" s="460"/>
      <c r="AE1441" s="460"/>
      <c r="AF1441" s="460"/>
      <c r="AG1441" s="460">
        <f t="shared" ref="AG1441:AI1441" si="1666">SUM(AG1438:AG1440)</f>
        <v>0</v>
      </c>
      <c r="AH1441" s="460">
        <f t="shared" si="1666"/>
        <v>5000000</v>
      </c>
      <c r="AI1441" s="460">
        <f t="shared" si="1666"/>
        <v>5000000</v>
      </c>
      <c r="AJ1441" s="776">
        <f>AI1441/AH1441*100</f>
        <v>100</v>
      </c>
    </row>
    <row r="1442" spans="1:36" ht="8.5" customHeight="1">
      <c r="A1442" s="40"/>
      <c r="B1442" s="40"/>
      <c r="C1442" s="124"/>
      <c r="D1442" s="124"/>
      <c r="E1442" s="124"/>
      <c r="F1442" s="41"/>
      <c r="G1442" s="41"/>
      <c r="H1442" s="66"/>
      <c r="I1442" s="41"/>
      <c r="J1442" s="126"/>
      <c r="K1442" s="204"/>
      <c r="L1442" s="205"/>
      <c r="M1442" s="205"/>
      <c r="N1442" s="205"/>
      <c r="O1442" s="205"/>
      <c r="P1442" s="205"/>
      <c r="Q1442" s="205"/>
      <c r="R1442" s="205"/>
      <c r="S1442" s="205"/>
      <c r="T1442" s="205"/>
      <c r="U1442" s="205"/>
      <c r="V1442" s="205"/>
      <c r="W1442" s="205"/>
      <c r="X1442" s="205"/>
      <c r="Y1442" s="205"/>
      <c r="Z1442" s="205"/>
      <c r="AA1442" s="205"/>
      <c r="AB1442" s="205"/>
      <c r="AC1442" s="205"/>
      <c r="AD1442" s="205"/>
      <c r="AE1442" s="205"/>
      <c r="AF1442" s="205"/>
      <c r="AG1442" s="205"/>
      <c r="AH1442" s="205"/>
      <c r="AI1442" s="205"/>
      <c r="AJ1442" s="747"/>
    </row>
    <row r="1443" spans="1:36" ht="14">
      <c r="A1443" s="40">
        <v>146</v>
      </c>
      <c r="B1443" s="40"/>
      <c r="C1443" s="124"/>
      <c r="D1443" s="124"/>
      <c r="E1443" s="124"/>
      <c r="F1443" s="41" t="s">
        <v>158</v>
      </c>
      <c r="G1443" s="41"/>
      <c r="H1443" s="66"/>
      <c r="I1443" s="41"/>
      <c r="J1443" s="126"/>
      <c r="K1443" s="204"/>
      <c r="L1443" s="205"/>
      <c r="M1443" s="205"/>
      <c r="N1443" s="205"/>
      <c r="O1443" s="205"/>
      <c r="P1443" s="205"/>
      <c r="Q1443" s="205"/>
      <c r="R1443" s="205"/>
      <c r="S1443" s="205"/>
      <c r="T1443" s="205"/>
      <c r="U1443" s="205"/>
      <c r="V1443" s="205"/>
      <c r="W1443" s="205"/>
      <c r="X1443" s="205"/>
      <c r="Y1443" s="205"/>
      <c r="Z1443" s="205"/>
      <c r="AA1443" s="205"/>
      <c r="AB1443" s="205"/>
      <c r="AC1443" s="205"/>
      <c r="AD1443" s="205"/>
      <c r="AE1443" s="205"/>
      <c r="AF1443" s="205"/>
      <c r="AG1443" s="205"/>
      <c r="AH1443" s="205"/>
      <c r="AI1443" s="205"/>
      <c r="AJ1443" s="747"/>
    </row>
    <row r="1444" spans="1:36" ht="14">
      <c r="A1444" s="40"/>
      <c r="B1444" s="40"/>
      <c r="C1444" s="124">
        <v>2</v>
      </c>
      <c r="D1444" s="124"/>
      <c r="E1444" s="124"/>
      <c r="F1444" s="41"/>
      <c r="G1444" s="41"/>
      <c r="H1444" s="162" t="s">
        <v>211</v>
      </c>
      <c r="I1444" s="66"/>
      <c r="J1444" s="126"/>
      <c r="K1444" s="204"/>
      <c r="L1444" s="205"/>
      <c r="M1444" s="205"/>
      <c r="N1444" s="205"/>
      <c r="O1444" s="205"/>
      <c r="P1444" s="205"/>
      <c r="Q1444" s="205"/>
      <c r="R1444" s="205"/>
      <c r="S1444" s="205"/>
      <c r="T1444" s="205"/>
      <c r="U1444" s="205"/>
      <c r="V1444" s="205"/>
      <c r="W1444" s="205"/>
      <c r="X1444" s="205"/>
      <c r="Y1444" s="205"/>
      <c r="Z1444" s="205"/>
      <c r="AA1444" s="205"/>
      <c r="AB1444" s="205"/>
      <c r="AC1444" s="205"/>
      <c r="AD1444" s="205"/>
      <c r="AE1444" s="205"/>
      <c r="AF1444" s="205"/>
      <c r="AG1444" s="205"/>
      <c r="AH1444" s="205"/>
      <c r="AI1444" s="205"/>
      <c r="AJ1444" s="747"/>
    </row>
    <row r="1445" spans="1:36" ht="14">
      <c r="A1445" s="40"/>
      <c r="B1445" s="40"/>
      <c r="C1445" s="124"/>
      <c r="D1445" s="124">
        <v>7</v>
      </c>
      <c r="E1445" s="124" t="s">
        <v>199</v>
      </c>
      <c r="F1445" s="41"/>
      <c r="G1445" s="41"/>
      <c r="H1445" s="66"/>
      <c r="I1445" s="125" t="s">
        <v>214</v>
      </c>
      <c r="J1445" s="452"/>
      <c r="K1445" s="453">
        <v>15300000</v>
      </c>
      <c r="L1445" s="454">
        <f>SUM(K1445)</f>
        <v>15300000</v>
      </c>
      <c r="M1445" s="454">
        <v>4300000</v>
      </c>
      <c r="N1445" s="454"/>
      <c r="O1445" s="454"/>
      <c r="P1445" s="454"/>
      <c r="Q1445" s="454">
        <v>-4875000</v>
      </c>
      <c r="R1445" s="454"/>
      <c r="S1445" s="217">
        <f t="shared" ref="S1445" si="1667">SUM(M1445:R1445)</f>
        <v>-575000</v>
      </c>
      <c r="T1445" s="217">
        <f t="shared" ref="T1445" si="1668">S1445+L1445</f>
        <v>14725000</v>
      </c>
      <c r="U1445" s="454"/>
      <c r="V1445" s="454"/>
      <c r="W1445" s="454"/>
      <c r="X1445" s="454">
        <v>-2867683</v>
      </c>
      <c r="Y1445" s="454"/>
      <c r="Z1445" s="217">
        <f>SUM(U1445:Y1445)</f>
        <v>-2867683</v>
      </c>
      <c r="AA1445" s="217">
        <f>Z1445+T1445</f>
        <v>11857317</v>
      </c>
      <c r="AB1445" s="454"/>
      <c r="AC1445" s="454"/>
      <c r="AD1445" s="454"/>
      <c r="AE1445" s="454">
        <v>-2391027</v>
      </c>
      <c r="AF1445" s="454"/>
      <c r="AG1445" s="217">
        <f t="shared" ref="AG1445" si="1669">SUM(AB1445:AF1445)</f>
        <v>-2391027</v>
      </c>
      <c r="AH1445" s="217">
        <f t="shared" ref="AH1445" si="1670">AG1445+AA1445</f>
        <v>9466290</v>
      </c>
      <c r="AI1445" s="217"/>
      <c r="AJ1445" s="764"/>
    </row>
    <row r="1446" spans="1:36" ht="7.5" customHeight="1">
      <c r="A1446" s="40"/>
      <c r="B1446" s="40"/>
      <c r="C1446" s="124"/>
      <c r="D1446" s="124"/>
      <c r="E1446" s="124"/>
      <c r="F1446" s="41"/>
      <c r="G1446" s="41"/>
      <c r="H1446" s="66"/>
      <c r="I1446" s="66"/>
      <c r="J1446" s="126"/>
      <c r="K1446" s="204"/>
      <c r="L1446" s="454"/>
      <c r="M1446" s="454"/>
      <c r="N1446" s="454"/>
      <c r="O1446" s="454"/>
      <c r="P1446" s="454"/>
      <c r="Q1446" s="454"/>
      <c r="R1446" s="454"/>
      <c r="S1446" s="454"/>
      <c r="T1446" s="454"/>
      <c r="U1446" s="454"/>
      <c r="V1446" s="454"/>
      <c r="W1446" s="454"/>
      <c r="X1446" s="454"/>
      <c r="Y1446" s="454"/>
      <c r="Z1446" s="454"/>
      <c r="AA1446" s="454"/>
      <c r="AB1446" s="454"/>
      <c r="AC1446" s="454"/>
      <c r="AD1446" s="454"/>
      <c r="AE1446" s="454"/>
      <c r="AF1446" s="454"/>
      <c r="AG1446" s="454"/>
      <c r="AH1446" s="454"/>
      <c r="AI1446" s="454"/>
      <c r="AJ1446" s="769"/>
    </row>
    <row r="1447" spans="1:36" ht="14">
      <c r="A1447" s="40"/>
      <c r="B1447" s="40"/>
      <c r="C1447" s="124"/>
      <c r="D1447" s="124"/>
      <c r="E1447" s="124"/>
      <c r="F1447" s="166"/>
      <c r="G1447" s="166"/>
      <c r="H1447" s="464"/>
      <c r="I1447" s="166" t="s">
        <v>37</v>
      </c>
      <c r="J1447" s="460"/>
      <c r="K1447" s="461">
        <f>SUM(K1445:K1446)</f>
        <v>15300000</v>
      </c>
      <c r="L1447" s="460">
        <f>SUM(L1445:L1446)</f>
        <v>15300000</v>
      </c>
      <c r="M1447" s="460">
        <f t="shared" ref="M1447:T1447" si="1671">SUM(M1445:M1446)</f>
        <v>4300000</v>
      </c>
      <c r="N1447" s="460">
        <f t="shared" si="1671"/>
        <v>0</v>
      </c>
      <c r="O1447" s="460">
        <f t="shared" si="1671"/>
        <v>0</v>
      </c>
      <c r="P1447" s="460">
        <f t="shared" si="1671"/>
        <v>0</v>
      </c>
      <c r="Q1447" s="460">
        <f t="shared" si="1671"/>
        <v>-4875000</v>
      </c>
      <c r="R1447" s="460">
        <f t="shared" si="1671"/>
        <v>0</v>
      </c>
      <c r="S1447" s="460">
        <f t="shared" si="1671"/>
        <v>-575000</v>
      </c>
      <c r="T1447" s="460">
        <f t="shared" si="1671"/>
        <v>14725000</v>
      </c>
      <c r="U1447" s="460"/>
      <c r="V1447" s="460"/>
      <c r="W1447" s="460"/>
      <c r="X1447" s="460">
        <f t="shared" ref="X1447:AA1447" si="1672">SUM(X1445:X1446)</f>
        <v>-2867683</v>
      </c>
      <c r="Y1447" s="460"/>
      <c r="Z1447" s="460">
        <f t="shared" si="1672"/>
        <v>-2867683</v>
      </c>
      <c r="AA1447" s="460">
        <f t="shared" si="1672"/>
        <v>11857317</v>
      </c>
      <c r="AB1447" s="460"/>
      <c r="AC1447" s="460"/>
      <c r="AD1447" s="460"/>
      <c r="AE1447" s="460">
        <f t="shared" ref="AE1447" si="1673">SUM(AE1445:AE1446)</f>
        <v>-2391027</v>
      </c>
      <c r="AF1447" s="460"/>
      <c r="AG1447" s="460">
        <f t="shared" ref="AG1447:AH1447" si="1674">SUM(AG1445:AG1446)</f>
        <v>-2391027</v>
      </c>
      <c r="AH1447" s="460">
        <f t="shared" si="1674"/>
        <v>9466290</v>
      </c>
      <c r="AI1447" s="460"/>
      <c r="AJ1447" s="776"/>
    </row>
    <row r="1448" spans="1:36" ht="8" customHeight="1">
      <c r="A1448" s="40"/>
      <c r="B1448" s="40"/>
      <c r="C1448" s="124"/>
      <c r="D1448" s="124"/>
      <c r="E1448" s="124"/>
      <c r="F1448" s="41"/>
      <c r="G1448" s="41"/>
      <c r="H1448" s="66"/>
      <c r="I1448" s="41"/>
      <c r="J1448" s="126"/>
      <c r="K1448" s="204"/>
      <c r="L1448" s="205"/>
      <c r="M1448" s="205"/>
      <c r="N1448" s="205"/>
      <c r="O1448" s="205"/>
      <c r="P1448" s="205"/>
      <c r="Q1448" s="205"/>
      <c r="R1448" s="205"/>
      <c r="S1448" s="205"/>
      <c r="T1448" s="205"/>
      <c r="U1448" s="205"/>
      <c r="V1448" s="205"/>
      <c r="W1448" s="205"/>
      <c r="X1448" s="205"/>
      <c r="Y1448" s="205"/>
      <c r="Z1448" s="205"/>
      <c r="AA1448" s="205"/>
      <c r="AB1448" s="205"/>
      <c r="AC1448" s="205"/>
      <c r="AD1448" s="205"/>
      <c r="AE1448" s="205"/>
      <c r="AF1448" s="205"/>
      <c r="AG1448" s="205"/>
      <c r="AH1448" s="205"/>
      <c r="AI1448" s="205"/>
      <c r="AJ1448" s="747"/>
    </row>
    <row r="1449" spans="1:36" ht="14">
      <c r="A1449" s="40">
        <v>147</v>
      </c>
      <c r="B1449" s="40"/>
      <c r="C1449" s="124"/>
      <c r="D1449" s="124"/>
      <c r="E1449" s="124"/>
      <c r="F1449" s="41" t="s">
        <v>364</v>
      </c>
      <c r="G1449" s="41"/>
      <c r="H1449" s="66"/>
      <c r="I1449" s="41"/>
      <c r="J1449" s="126"/>
      <c r="K1449" s="204"/>
      <c r="L1449" s="205"/>
      <c r="M1449" s="205"/>
      <c r="N1449" s="205"/>
      <c r="O1449" s="205"/>
      <c r="P1449" s="205"/>
      <c r="Q1449" s="205"/>
      <c r="R1449" s="205"/>
      <c r="S1449" s="205"/>
      <c r="T1449" s="205"/>
      <c r="U1449" s="205"/>
      <c r="V1449" s="205"/>
      <c r="W1449" s="205"/>
      <c r="X1449" s="205"/>
      <c r="Y1449" s="205"/>
      <c r="Z1449" s="205"/>
      <c r="AA1449" s="205"/>
      <c r="AB1449" s="205"/>
      <c r="AC1449" s="205"/>
      <c r="AD1449" s="205"/>
      <c r="AE1449" s="205"/>
      <c r="AF1449" s="205"/>
      <c r="AG1449" s="205"/>
      <c r="AH1449" s="205"/>
      <c r="AI1449" s="205"/>
      <c r="AJ1449" s="747"/>
    </row>
    <row r="1450" spans="1:36" ht="14">
      <c r="A1450" s="40"/>
      <c r="B1450" s="40"/>
      <c r="C1450" s="124">
        <v>2</v>
      </c>
      <c r="D1450" s="124"/>
      <c r="E1450" s="124"/>
      <c r="F1450" s="41"/>
      <c r="G1450" s="41"/>
      <c r="H1450" s="162" t="s">
        <v>211</v>
      </c>
      <c r="I1450" s="66"/>
      <c r="J1450" s="126"/>
      <c r="K1450" s="204"/>
      <c r="L1450" s="205"/>
      <c r="M1450" s="205"/>
      <c r="N1450" s="205"/>
      <c r="O1450" s="205"/>
      <c r="P1450" s="205"/>
      <c r="Q1450" s="205"/>
      <c r="R1450" s="205"/>
      <c r="S1450" s="205"/>
      <c r="T1450" s="205"/>
      <c r="U1450" s="205"/>
      <c r="V1450" s="205"/>
      <c r="W1450" s="205"/>
      <c r="X1450" s="205"/>
      <c r="Y1450" s="205"/>
      <c r="Z1450" s="205"/>
      <c r="AA1450" s="205"/>
      <c r="AB1450" s="205"/>
      <c r="AC1450" s="205"/>
      <c r="AD1450" s="205"/>
      <c r="AE1450" s="205"/>
      <c r="AF1450" s="205"/>
      <c r="AG1450" s="205"/>
      <c r="AH1450" s="205"/>
      <c r="AI1450" s="205"/>
      <c r="AJ1450" s="747"/>
    </row>
    <row r="1451" spans="1:36" ht="14">
      <c r="A1451" s="40"/>
      <c r="B1451" s="40"/>
      <c r="C1451" s="124"/>
      <c r="D1451" s="124">
        <v>7</v>
      </c>
      <c r="E1451" s="124" t="s">
        <v>199</v>
      </c>
      <c r="F1451" s="41"/>
      <c r="G1451" s="41"/>
      <c r="H1451" s="66"/>
      <c r="I1451" s="125" t="s">
        <v>214</v>
      </c>
      <c r="J1451" s="452"/>
      <c r="K1451" s="453">
        <v>10000000</v>
      </c>
      <c r="L1451" s="454">
        <f>SUM(K1451)</f>
        <v>10000000</v>
      </c>
      <c r="M1451" s="454"/>
      <c r="N1451" s="454"/>
      <c r="O1451" s="454"/>
      <c r="P1451" s="454"/>
      <c r="Q1451" s="454">
        <v>3025000</v>
      </c>
      <c r="R1451" s="454"/>
      <c r="S1451" s="217">
        <f t="shared" ref="S1451" si="1675">SUM(M1451:R1451)</f>
        <v>3025000</v>
      </c>
      <c r="T1451" s="217">
        <f t="shared" ref="T1451" si="1676">S1451+L1451</f>
        <v>13025000</v>
      </c>
      <c r="U1451" s="454"/>
      <c r="V1451" s="454"/>
      <c r="W1451" s="454"/>
      <c r="X1451" s="454">
        <v>2201800</v>
      </c>
      <c r="Y1451" s="454"/>
      <c r="Z1451" s="217">
        <f>SUM(U1451:Y1451)</f>
        <v>2201800</v>
      </c>
      <c r="AA1451" s="217">
        <f>Z1451+T1451</f>
        <v>15226800</v>
      </c>
      <c r="AB1451" s="454"/>
      <c r="AC1451" s="454"/>
      <c r="AD1451" s="454"/>
      <c r="AE1451" s="454">
        <v>9272712</v>
      </c>
      <c r="AF1451" s="454"/>
      <c r="AG1451" s="217">
        <f t="shared" ref="AG1451" si="1677">SUM(AB1451:AF1451)</f>
        <v>9272712</v>
      </c>
      <c r="AH1451" s="217">
        <f t="shared" ref="AH1451" si="1678">AG1451+AA1451</f>
        <v>24499512</v>
      </c>
      <c r="AI1451" s="217">
        <v>24499512</v>
      </c>
      <c r="AJ1451" s="764">
        <f>AI1451/AH1451*100</f>
        <v>100</v>
      </c>
    </row>
    <row r="1452" spans="1:36" ht="14">
      <c r="A1452" s="40"/>
      <c r="B1452" s="40"/>
      <c r="C1452" s="124"/>
      <c r="D1452" s="124"/>
      <c r="E1452" s="124"/>
      <c r="F1452" s="41"/>
      <c r="G1452" s="41"/>
      <c r="H1452" s="66"/>
      <c r="I1452" s="66"/>
      <c r="J1452" s="126"/>
      <c r="K1452" s="204"/>
      <c r="L1452" s="454"/>
      <c r="M1452" s="454"/>
      <c r="N1452" s="454"/>
      <c r="O1452" s="454"/>
      <c r="P1452" s="454"/>
      <c r="Q1452" s="454"/>
      <c r="R1452" s="454"/>
      <c r="S1452" s="454"/>
      <c r="T1452" s="454"/>
      <c r="U1452" s="454"/>
      <c r="V1452" s="454"/>
      <c r="W1452" s="454"/>
      <c r="X1452" s="454"/>
      <c r="Y1452" s="454"/>
      <c r="Z1452" s="454"/>
      <c r="AA1452" s="454"/>
      <c r="AB1452" s="454"/>
      <c r="AC1452" s="454"/>
      <c r="AD1452" s="454"/>
      <c r="AE1452" s="454"/>
      <c r="AF1452" s="454"/>
      <c r="AG1452" s="454"/>
      <c r="AH1452" s="454"/>
      <c r="AI1452" s="454"/>
      <c r="AJ1452" s="769"/>
    </row>
    <row r="1453" spans="1:36" ht="14">
      <c r="A1453" s="40"/>
      <c r="B1453" s="40"/>
      <c r="C1453" s="124"/>
      <c r="D1453" s="124"/>
      <c r="E1453" s="124"/>
      <c r="F1453" s="166"/>
      <c r="G1453" s="166"/>
      <c r="H1453" s="464"/>
      <c r="I1453" s="166" t="s">
        <v>37</v>
      </c>
      <c r="J1453" s="460"/>
      <c r="K1453" s="461">
        <f>SUM(K1451:K1452)</f>
        <v>10000000</v>
      </c>
      <c r="L1453" s="460">
        <f>SUM(L1451:L1452)</f>
        <v>10000000</v>
      </c>
      <c r="M1453" s="460">
        <f t="shared" ref="M1453:T1453" si="1679">SUM(M1451:M1452)</f>
        <v>0</v>
      </c>
      <c r="N1453" s="460">
        <f t="shared" si="1679"/>
        <v>0</v>
      </c>
      <c r="O1453" s="460">
        <f t="shared" si="1679"/>
        <v>0</v>
      </c>
      <c r="P1453" s="460">
        <f t="shared" si="1679"/>
        <v>0</v>
      </c>
      <c r="Q1453" s="460">
        <f t="shared" si="1679"/>
        <v>3025000</v>
      </c>
      <c r="R1453" s="460">
        <f t="shared" si="1679"/>
        <v>0</v>
      </c>
      <c r="S1453" s="460">
        <f t="shared" si="1679"/>
        <v>3025000</v>
      </c>
      <c r="T1453" s="460">
        <f t="shared" si="1679"/>
        <v>13025000</v>
      </c>
      <c r="U1453" s="460"/>
      <c r="V1453" s="460"/>
      <c r="W1453" s="460"/>
      <c r="X1453" s="460">
        <f t="shared" ref="X1453:AA1453" si="1680">SUM(X1451:X1452)</f>
        <v>2201800</v>
      </c>
      <c r="Y1453" s="460"/>
      <c r="Z1453" s="460">
        <f t="shared" si="1680"/>
        <v>2201800</v>
      </c>
      <c r="AA1453" s="460">
        <f t="shared" si="1680"/>
        <v>15226800</v>
      </c>
      <c r="AB1453" s="460"/>
      <c r="AC1453" s="460"/>
      <c r="AD1453" s="460"/>
      <c r="AE1453" s="460">
        <f t="shared" ref="AE1453" si="1681">SUM(AE1451:AE1452)</f>
        <v>9272712</v>
      </c>
      <c r="AF1453" s="460"/>
      <c r="AG1453" s="460">
        <f t="shared" ref="AG1453:AI1453" si="1682">SUM(AG1451:AG1452)</f>
        <v>9272712</v>
      </c>
      <c r="AH1453" s="460">
        <f t="shared" si="1682"/>
        <v>24499512</v>
      </c>
      <c r="AI1453" s="460">
        <f t="shared" si="1682"/>
        <v>24499512</v>
      </c>
      <c r="AJ1453" s="776">
        <f>AI1453/AH1453*100</f>
        <v>100</v>
      </c>
    </row>
    <row r="1454" spans="1:36" ht="14">
      <c r="A1454" s="40"/>
      <c r="B1454" s="40"/>
      <c r="C1454" s="124"/>
      <c r="D1454" s="124"/>
      <c r="E1454" s="124"/>
      <c r="F1454" s="41"/>
      <c r="G1454" s="41"/>
      <c r="H1454" s="66"/>
      <c r="I1454" s="41"/>
      <c r="J1454" s="126"/>
      <c r="K1454" s="204"/>
      <c r="L1454" s="205"/>
      <c r="M1454" s="205"/>
      <c r="N1454" s="205"/>
      <c r="O1454" s="205"/>
      <c r="P1454" s="205"/>
      <c r="Q1454" s="205"/>
      <c r="R1454" s="205"/>
      <c r="S1454" s="205"/>
      <c r="T1454" s="205"/>
      <c r="U1454" s="205"/>
      <c r="V1454" s="205"/>
      <c r="W1454" s="205"/>
      <c r="X1454" s="205"/>
      <c r="Y1454" s="205"/>
      <c r="Z1454" s="205"/>
      <c r="AA1454" s="205"/>
      <c r="AB1454" s="205"/>
      <c r="AC1454" s="205"/>
      <c r="AD1454" s="205"/>
      <c r="AE1454" s="205"/>
      <c r="AF1454" s="205"/>
      <c r="AG1454" s="205"/>
      <c r="AH1454" s="205"/>
      <c r="AI1454" s="205"/>
      <c r="AJ1454" s="747"/>
    </row>
    <row r="1455" spans="1:36" ht="14">
      <c r="A1455" s="40">
        <v>148</v>
      </c>
      <c r="B1455" s="40"/>
      <c r="C1455" s="124"/>
      <c r="D1455" s="124"/>
      <c r="E1455" s="124"/>
      <c r="F1455" s="41" t="s">
        <v>365</v>
      </c>
      <c r="G1455" s="41"/>
      <c r="H1455" s="66"/>
      <c r="I1455" s="41"/>
      <c r="J1455" s="126"/>
      <c r="K1455" s="204"/>
      <c r="L1455" s="205"/>
      <c r="M1455" s="205"/>
      <c r="N1455" s="205"/>
      <c r="O1455" s="205"/>
      <c r="P1455" s="205"/>
      <c r="Q1455" s="205"/>
      <c r="R1455" s="205"/>
      <c r="S1455" s="205"/>
      <c r="T1455" s="205"/>
      <c r="U1455" s="205"/>
      <c r="V1455" s="205"/>
      <c r="W1455" s="205"/>
      <c r="X1455" s="205"/>
      <c r="Y1455" s="205"/>
      <c r="Z1455" s="205"/>
      <c r="AA1455" s="205"/>
      <c r="AB1455" s="205"/>
      <c r="AC1455" s="205"/>
      <c r="AD1455" s="205"/>
      <c r="AE1455" s="205"/>
      <c r="AF1455" s="205"/>
      <c r="AG1455" s="205"/>
      <c r="AH1455" s="205"/>
      <c r="AI1455" s="205"/>
      <c r="AJ1455" s="747"/>
    </row>
    <row r="1456" spans="1:36" ht="14">
      <c r="A1456" s="40"/>
      <c r="B1456" s="40"/>
      <c r="C1456" s="124">
        <v>2</v>
      </c>
      <c r="D1456" s="124"/>
      <c r="E1456" s="124"/>
      <c r="F1456" s="41"/>
      <c r="G1456" s="41"/>
      <c r="H1456" s="162" t="s">
        <v>211</v>
      </c>
      <c r="I1456" s="66"/>
      <c r="J1456" s="126"/>
      <c r="K1456" s="204"/>
      <c r="L1456" s="205"/>
      <c r="M1456" s="205"/>
      <c r="N1456" s="205"/>
      <c r="O1456" s="205"/>
      <c r="P1456" s="205"/>
      <c r="Q1456" s="205"/>
      <c r="R1456" s="205"/>
      <c r="S1456" s="205"/>
      <c r="T1456" s="205"/>
      <c r="U1456" s="205"/>
      <c r="V1456" s="205"/>
      <c r="W1456" s="205"/>
      <c r="X1456" s="205"/>
      <c r="Y1456" s="205"/>
      <c r="Z1456" s="205"/>
      <c r="AA1456" s="205"/>
      <c r="AB1456" s="205"/>
      <c r="AC1456" s="205"/>
      <c r="AD1456" s="205"/>
      <c r="AE1456" s="205"/>
      <c r="AF1456" s="205"/>
      <c r="AG1456" s="205"/>
      <c r="AH1456" s="205"/>
      <c r="AI1456" s="205"/>
      <c r="AJ1456" s="747"/>
    </row>
    <row r="1457" spans="1:36" ht="14">
      <c r="A1457" s="40"/>
      <c r="B1457" s="40"/>
      <c r="C1457" s="124"/>
      <c r="D1457" s="124">
        <v>7</v>
      </c>
      <c r="E1457" s="124" t="s">
        <v>199</v>
      </c>
      <c r="F1457" s="41"/>
      <c r="G1457" s="41"/>
      <c r="H1457" s="66"/>
      <c r="I1457" s="125" t="s">
        <v>214</v>
      </c>
      <c r="J1457" s="452"/>
      <c r="K1457" s="453">
        <v>6256805</v>
      </c>
      <c r="L1457" s="454">
        <f>SUM(K1457)</f>
        <v>6256805</v>
      </c>
      <c r="M1457" s="454">
        <v>291071</v>
      </c>
      <c r="N1457" s="454"/>
      <c r="O1457" s="454"/>
      <c r="P1457" s="454"/>
      <c r="Q1457" s="454"/>
      <c r="R1457" s="454"/>
      <c r="S1457" s="217">
        <f t="shared" ref="S1457" si="1683">SUM(M1457:R1457)</f>
        <v>291071</v>
      </c>
      <c r="T1457" s="217">
        <f t="shared" ref="T1457" si="1684">S1457+L1457</f>
        <v>6547876</v>
      </c>
      <c r="U1457" s="454"/>
      <c r="V1457" s="454"/>
      <c r="W1457" s="454"/>
      <c r="X1457" s="454"/>
      <c r="Y1457" s="454"/>
      <c r="Z1457" s="217">
        <f>SUM(U1457:Y1457)</f>
        <v>0</v>
      </c>
      <c r="AA1457" s="217">
        <f>Z1457+T1457</f>
        <v>6547876</v>
      </c>
      <c r="AB1457" s="454"/>
      <c r="AC1457" s="454"/>
      <c r="AD1457" s="454"/>
      <c r="AE1457" s="454">
        <v>919965</v>
      </c>
      <c r="AF1457" s="454"/>
      <c r="AG1457" s="217">
        <f t="shared" ref="AG1457" si="1685">SUM(AB1457:AF1457)</f>
        <v>919965</v>
      </c>
      <c r="AH1457" s="217">
        <f t="shared" ref="AH1457" si="1686">AG1457+AA1457</f>
        <v>7467841</v>
      </c>
      <c r="AI1457" s="217">
        <v>2689860</v>
      </c>
      <c r="AJ1457" s="764">
        <f>AI1457/AH1457*100</f>
        <v>36.019245723094535</v>
      </c>
    </row>
    <row r="1458" spans="1:36" ht="14">
      <c r="A1458" s="40"/>
      <c r="B1458" s="40"/>
      <c r="C1458" s="124"/>
      <c r="D1458" s="124"/>
      <c r="E1458" s="124"/>
      <c r="F1458" s="41"/>
      <c r="G1458" s="41"/>
      <c r="H1458" s="66"/>
      <c r="I1458" s="66"/>
      <c r="J1458" s="126"/>
      <c r="K1458" s="204"/>
      <c r="L1458" s="454"/>
      <c r="M1458" s="454"/>
      <c r="N1458" s="454"/>
      <c r="O1458" s="454"/>
      <c r="P1458" s="454"/>
      <c r="Q1458" s="454"/>
      <c r="R1458" s="454"/>
      <c r="S1458" s="454"/>
      <c r="T1458" s="454"/>
      <c r="U1458" s="454"/>
      <c r="V1458" s="454"/>
      <c r="W1458" s="454"/>
      <c r="X1458" s="454"/>
      <c r="Y1458" s="454"/>
      <c r="Z1458" s="454"/>
      <c r="AA1458" s="454"/>
      <c r="AB1458" s="454"/>
      <c r="AC1458" s="454"/>
      <c r="AD1458" s="454"/>
      <c r="AE1458" s="454"/>
      <c r="AF1458" s="454"/>
      <c r="AG1458" s="454"/>
      <c r="AH1458" s="454"/>
      <c r="AI1458" s="454"/>
      <c r="AJ1458" s="769"/>
    </row>
    <row r="1459" spans="1:36" ht="14">
      <c r="A1459" s="40"/>
      <c r="B1459" s="40"/>
      <c r="C1459" s="124"/>
      <c r="D1459" s="124"/>
      <c r="E1459" s="124"/>
      <c r="F1459" s="166"/>
      <c r="G1459" s="166"/>
      <c r="H1459" s="464"/>
      <c r="I1459" s="166" t="s">
        <v>37</v>
      </c>
      <c r="J1459" s="460"/>
      <c r="K1459" s="461">
        <f>SUM(K1457:K1458)</f>
        <v>6256805</v>
      </c>
      <c r="L1459" s="460">
        <f>SUM(L1457:L1458)</f>
        <v>6256805</v>
      </c>
      <c r="M1459" s="460">
        <f t="shared" ref="M1459:T1459" si="1687">SUM(M1457:M1458)</f>
        <v>291071</v>
      </c>
      <c r="N1459" s="460">
        <f t="shared" si="1687"/>
        <v>0</v>
      </c>
      <c r="O1459" s="460">
        <f t="shared" si="1687"/>
        <v>0</v>
      </c>
      <c r="P1459" s="460">
        <f t="shared" si="1687"/>
        <v>0</v>
      </c>
      <c r="Q1459" s="460">
        <f t="shared" si="1687"/>
        <v>0</v>
      </c>
      <c r="R1459" s="460">
        <f t="shared" si="1687"/>
        <v>0</v>
      </c>
      <c r="S1459" s="460">
        <f t="shared" si="1687"/>
        <v>291071</v>
      </c>
      <c r="T1459" s="460">
        <f t="shared" si="1687"/>
        <v>6547876</v>
      </c>
      <c r="U1459" s="460"/>
      <c r="V1459" s="460"/>
      <c r="W1459" s="460"/>
      <c r="X1459" s="460"/>
      <c r="Y1459" s="460"/>
      <c r="Z1459" s="460">
        <f t="shared" ref="Z1459:AA1459" si="1688">SUM(Z1457:Z1458)</f>
        <v>0</v>
      </c>
      <c r="AA1459" s="460">
        <f t="shared" si="1688"/>
        <v>6547876</v>
      </c>
      <c r="AB1459" s="460"/>
      <c r="AC1459" s="460"/>
      <c r="AD1459" s="460"/>
      <c r="AE1459" s="460">
        <f t="shared" ref="AE1459:AI1459" si="1689">SUM(AE1457:AE1458)</f>
        <v>919965</v>
      </c>
      <c r="AF1459" s="460"/>
      <c r="AG1459" s="460">
        <f t="shared" si="1689"/>
        <v>919965</v>
      </c>
      <c r="AH1459" s="460">
        <f t="shared" si="1689"/>
        <v>7467841</v>
      </c>
      <c r="AI1459" s="460">
        <f t="shared" si="1689"/>
        <v>2689860</v>
      </c>
      <c r="AJ1459" s="776">
        <f>AI1459/AH1459*100</f>
        <v>36.019245723094535</v>
      </c>
    </row>
    <row r="1460" spans="1:36" ht="14">
      <c r="A1460" s="40"/>
      <c r="B1460" s="40"/>
      <c r="C1460" s="124"/>
      <c r="D1460" s="124"/>
      <c r="E1460" s="124"/>
      <c r="F1460" s="41"/>
      <c r="G1460" s="41"/>
      <c r="H1460" s="66"/>
      <c r="I1460" s="41"/>
      <c r="J1460" s="126"/>
      <c r="K1460" s="204"/>
      <c r="L1460" s="205"/>
      <c r="M1460" s="205"/>
      <c r="N1460" s="205"/>
      <c r="O1460" s="205"/>
      <c r="P1460" s="205"/>
      <c r="Q1460" s="205"/>
      <c r="R1460" s="205"/>
      <c r="S1460" s="205"/>
      <c r="T1460" s="205"/>
      <c r="U1460" s="205"/>
      <c r="V1460" s="205"/>
      <c r="W1460" s="205"/>
      <c r="X1460" s="205"/>
      <c r="Y1460" s="205"/>
      <c r="Z1460" s="205"/>
      <c r="AA1460" s="205"/>
      <c r="AB1460" s="205"/>
      <c r="AC1460" s="205"/>
      <c r="AD1460" s="205"/>
      <c r="AE1460" s="205"/>
      <c r="AF1460" s="205"/>
      <c r="AG1460" s="205"/>
      <c r="AH1460" s="205"/>
      <c r="AI1460" s="205"/>
      <c r="AJ1460" s="747"/>
    </row>
    <row r="1461" spans="1:36" ht="14">
      <c r="A1461" s="40">
        <v>149</v>
      </c>
      <c r="B1461" s="40"/>
      <c r="C1461" s="124"/>
      <c r="D1461" s="124"/>
      <c r="E1461" s="124"/>
      <c r="F1461" s="41" t="s">
        <v>366</v>
      </c>
      <c r="G1461" s="41"/>
      <c r="H1461" s="66"/>
      <c r="I1461" s="41"/>
      <c r="J1461" s="126"/>
      <c r="K1461" s="204"/>
      <c r="L1461" s="205"/>
      <c r="M1461" s="205"/>
      <c r="N1461" s="205"/>
      <c r="O1461" s="205"/>
      <c r="P1461" s="205"/>
      <c r="Q1461" s="205"/>
      <c r="R1461" s="205"/>
      <c r="S1461" s="205"/>
      <c r="T1461" s="205"/>
      <c r="U1461" s="205"/>
      <c r="V1461" s="205"/>
      <c r="W1461" s="205"/>
      <c r="X1461" s="205"/>
      <c r="Y1461" s="205"/>
      <c r="Z1461" s="205"/>
      <c r="AA1461" s="205"/>
      <c r="AB1461" s="205"/>
      <c r="AC1461" s="205"/>
      <c r="AD1461" s="205"/>
      <c r="AE1461" s="205"/>
      <c r="AF1461" s="205"/>
      <c r="AG1461" s="205"/>
      <c r="AH1461" s="205"/>
      <c r="AI1461" s="205"/>
      <c r="AJ1461" s="747"/>
    </row>
    <row r="1462" spans="1:36" ht="14">
      <c r="A1462" s="40"/>
      <c r="B1462" s="40"/>
      <c r="C1462" s="124">
        <v>2</v>
      </c>
      <c r="D1462" s="124"/>
      <c r="E1462" s="124"/>
      <c r="F1462" s="41"/>
      <c r="G1462" s="41"/>
      <c r="H1462" s="162" t="s">
        <v>211</v>
      </c>
      <c r="I1462" s="66"/>
      <c r="J1462" s="126"/>
      <c r="K1462" s="204"/>
      <c r="L1462" s="205"/>
      <c r="M1462" s="205"/>
      <c r="N1462" s="205"/>
      <c r="O1462" s="205"/>
      <c r="P1462" s="205"/>
      <c r="Q1462" s="205"/>
      <c r="R1462" s="205"/>
      <c r="S1462" s="205"/>
      <c r="T1462" s="205"/>
      <c r="U1462" s="205"/>
      <c r="V1462" s="205"/>
      <c r="W1462" s="205"/>
      <c r="X1462" s="205"/>
      <c r="Y1462" s="205"/>
      <c r="Z1462" s="205"/>
      <c r="AA1462" s="205"/>
      <c r="AB1462" s="205"/>
      <c r="AC1462" s="205"/>
      <c r="AD1462" s="205"/>
      <c r="AE1462" s="205"/>
      <c r="AF1462" s="205"/>
      <c r="AG1462" s="205"/>
      <c r="AH1462" s="205"/>
      <c r="AI1462" s="205"/>
      <c r="AJ1462" s="747"/>
    </row>
    <row r="1463" spans="1:36" ht="14">
      <c r="A1463" s="40"/>
      <c r="B1463" s="40"/>
      <c r="C1463" s="124"/>
      <c r="D1463" s="124">
        <v>7</v>
      </c>
      <c r="E1463" s="124" t="s">
        <v>199</v>
      </c>
      <c r="F1463" s="41"/>
      <c r="G1463" s="41"/>
      <c r="H1463" s="66"/>
      <c r="I1463" s="125" t="s">
        <v>214</v>
      </c>
      <c r="J1463" s="452"/>
      <c r="K1463" s="453">
        <v>10000000</v>
      </c>
      <c r="L1463" s="454">
        <f>SUM(K1463)</f>
        <v>10000000</v>
      </c>
      <c r="M1463" s="454">
        <v>400050</v>
      </c>
      <c r="N1463" s="454"/>
      <c r="O1463" s="454"/>
      <c r="P1463" s="454"/>
      <c r="Q1463" s="454"/>
      <c r="R1463" s="454"/>
      <c r="S1463" s="217">
        <f t="shared" ref="S1463" si="1690">SUM(M1463:R1463)</f>
        <v>400050</v>
      </c>
      <c r="T1463" s="217">
        <f t="shared" ref="T1463" si="1691">S1463+L1463</f>
        <v>10400050</v>
      </c>
      <c r="U1463" s="454"/>
      <c r="V1463" s="454"/>
      <c r="W1463" s="454"/>
      <c r="X1463" s="454"/>
      <c r="Y1463" s="454"/>
      <c r="Z1463" s="217">
        <f>SUM(U1463:Y1463)</f>
        <v>0</v>
      </c>
      <c r="AA1463" s="217">
        <f>Z1463+T1463</f>
        <v>10400050</v>
      </c>
      <c r="AB1463" s="454"/>
      <c r="AC1463" s="454"/>
      <c r="AD1463" s="454"/>
      <c r="AE1463" s="454"/>
      <c r="AF1463" s="454"/>
      <c r="AG1463" s="217">
        <f t="shared" ref="AG1463" si="1692">SUM(AB1463:AF1463)</f>
        <v>0</v>
      </c>
      <c r="AH1463" s="217">
        <f t="shared" ref="AH1463" si="1693">AG1463+AA1463</f>
        <v>10400050</v>
      </c>
      <c r="AI1463" s="217">
        <v>10380170</v>
      </c>
      <c r="AJ1463" s="764">
        <f>AI1463/AH1463*100</f>
        <v>99.808847072850611</v>
      </c>
    </row>
    <row r="1464" spans="1:36" ht="14">
      <c r="A1464" s="40"/>
      <c r="B1464" s="40"/>
      <c r="C1464" s="124"/>
      <c r="D1464" s="124"/>
      <c r="E1464" s="124"/>
      <c r="F1464" s="41"/>
      <c r="G1464" s="41"/>
      <c r="H1464" s="66"/>
      <c r="I1464" s="66"/>
      <c r="J1464" s="126"/>
      <c r="K1464" s="204"/>
      <c r="L1464" s="454"/>
      <c r="M1464" s="454"/>
      <c r="N1464" s="454"/>
      <c r="O1464" s="454"/>
      <c r="P1464" s="454"/>
      <c r="Q1464" s="454"/>
      <c r="R1464" s="454"/>
      <c r="S1464" s="454"/>
      <c r="T1464" s="454"/>
      <c r="U1464" s="454"/>
      <c r="V1464" s="454"/>
      <c r="W1464" s="454"/>
      <c r="X1464" s="454"/>
      <c r="Y1464" s="454"/>
      <c r="Z1464" s="454"/>
      <c r="AA1464" s="454"/>
      <c r="AB1464" s="454"/>
      <c r="AC1464" s="454"/>
      <c r="AD1464" s="454"/>
      <c r="AE1464" s="454"/>
      <c r="AF1464" s="454"/>
      <c r="AG1464" s="454"/>
      <c r="AH1464" s="454"/>
      <c r="AI1464" s="454"/>
      <c r="AJ1464" s="769"/>
    </row>
    <row r="1465" spans="1:36" ht="14">
      <c r="A1465" s="40"/>
      <c r="B1465" s="40"/>
      <c r="C1465" s="124"/>
      <c r="D1465" s="124"/>
      <c r="E1465" s="124"/>
      <c r="F1465" s="166"/>
      <c r="G1465" s="166"/>
      <c r="H1465" s="464"/>
      <c r="I1465" s="166" t="s">
        <v>37</v>
      </c>
      <c r="J1465" s="460"/>
      <c r="K1465" s="461">
        <f>SUM(K1463:K1464)</f>
        <v>10000000</v>
      </c>
      <c r="L1465" s="460">
        <f>SUM(L1463:L1464)</f>
        <v>10000000</v>
      </c>
      <c r="M1465" s="460">
        <f t="shared" ref="M1465:T1465" si="1694">SUM(M1463:M1464)</f>
        <v>400050</v>
      </c>
      <c r="N1465" s="460">
        <f t="shared" si="1694"/>
        <v>0</v>
      </c>
      <c r="O1465" s="460">
        <f t="shared" si="1694"/>
        <v>0</v>
      </c>
      <c r="P1465" s="460">
        <f t="shared" si="1694"/>
        <v>0</v>
      </c>
      <c r="Q1465" s="460">
        <f t="shared" si="1694"/>
        <v>0</v>
      </c>
      <c r="R1465" s="460">
        <f t="shared" si="1694"/>
        <v>0</v>
      </c>
      <c r="S1465" s="460">
        <f t="shared" si="1694"/>
        <v>400050</v>
      </c>
      <c r="T1465" s="460">
        <f t="shared" si="1694"/>
        <v>10400050</v>
      </c>
      <c r="U1465" s="460"/>
      <c r="V1465" s="460"/>
      <c r="W1465" s="460"/>
      <c r="X1465" s="460"/>
      <c r="Y1465" s="460"/>
      <c r="Z1465" s="460">
        <f t="shared" ref="Z1465:AA1465" si="1695">SUM(Z1463:Z1464)</f>
        <v>0</v>
      </c>
      <c r="AA1465" s="460">
        <f t="shared" si="1695"/>
        <v>10400050</v>
      </c>
      <c r="AB1465" s="460"/>
      <c r="AC1465" s="460"/>
      <c r="AD1465" s="460"/>
      <c r="AE1465" s="460"/>
      <c r="AF1465" s="460"/>
      <c r="AG1465" s="460">
        <f t="shared" ref="AG1465:AI1465" si="1696">SUM(AG1463:AG1464)</f>
        <v>0</v>
      </c>
      <c r="AH1465" s="460">
        <f t="shared" si="1696"/>
        <v>10400050</v>
      </c>
      <c r="AI1465" s="460">
        <f t="shared" si="1696"/>
        <v>10380170</v>
      </c>
      <c r="AJ1465" s="776">
        <f>AI1465/AH1465*100</f>
        <v>99.808847072850611</v>
      </c>
    </row>
    <row r="1466" spans="1:36" ht="14">
      <c r="A1466" s="40"/>
      <c r="B1466" s="40"/>
      <c r="C1466" s="124"/>
      <c r="D1466" s="124"/>
      <c r="E1466" s="124"/>
      <c r="F1466" s="41"/>
      <c r="G1466" s="41"/>
      <c r="H1466" s="66"/>
      <c r="I1466" s="41"/>
      <c r="J1466" s="126"/>
      <c r="K1466" s="204"/>
      <c r="L1466" s="205"/>
      <c r="M1466" s="205"/>
      <c r="N1466" s="205"/>
      <c r="O1466" s="205"/>
      <c r="P1466" s="205"/>
      <c r="Q1466" s="205"/>
      <c r="R1466" s="205"/>
      <c r="S1466" s="205"/>
      <c r="T1466" s="205"/>
      <c r="U1466" s="205"/>
      <c r="V1466" s="205"/>
      <c r="W1466" s="205"/>
      <c r="X1466" s="205"/>
      <c r="Y1466" s="205"/>
      <c r="Z1466" s="205"/>
      <c r="AA1466" s="205"/>
      <c r="AB1466" s="205"/>
      <c r="AC1466" s="205"/>
      <c r="AD1466" s="205"/>
      <c r="AE1466" s="205"/>
      <c r="AF1466" s="205"/>
      <c r="AG1466" s="205"/>
      <c r="AH1466" s="205"/>
      <c r="AI1466" s="205"/>
      <c r="AJ1466" s="747"/>
    </row>
    <row r="1467" spans="1:36" ht="14">
      <c r="A1467" s="40">
        <v>150</v>
      </c>
      <c r="B1467" s="40"/>
      <c r="C1467" s="124"/>
      <c r="D1467" s="124"/>
      <c r="E1467" s="124"/>
      <c r="F1467" s="41" t="s">
        <v>367</v>
      </c>
      <c r="G1467" s="41"/>
      <c r="H1467" s="66"/>
      <c r="I1467" s="41"/>
      <c r="J1467" s="126"/>
      <c r="K1467" s="204"/>
      <c r="L1467" s="205"/>
      <c r="M1467" s="205"/>
      <c r="N1467" s="205"/>
      <c r="O1467" s="205"/>
      <c r="P1467" s="205"/>
      <c r="Q1467" s="205"/>
      <c r="R1467" s="205"/>
      <c r="S1467" s="205"/>
      <c r="T1467" s="205"/>
      <c r="U1467" s="205"/>
      <c r="V1467" s="205"/>
      <c r="W1467" s="205"/>
      <c r="X1467" s="205"/>
      <c r="Y1467" s="205"/>
      <c r="Z1467" s="205"/>
      <c r="AA1467" s="205"/>
      <c r="AB1467" s="205"/>
      <c r="AC1467" s="205"/>
      <c r="AD1467" s="205"/>
      <c r="AE1467" s="205"/>
      <c r="AF1467" s="205"/>
      <c r="AG1467" s="205"/>
      <c r="AH1467" s="205"/>
      <c r="AI1467" s="205"/>
      <c r="AJ1467" s="747"/>
    </row>
    <row r="1468" spans="1:36" ht="14">
      <c r="A1468" s="40"/>
      <c r="B1468" s="40"/>
      <c r="C1468" s="124">
        <v>2</v>
      </c>
      <c r="D1468" s="124"/>
      <c r="E1468" s="124"/>
      <c r="F1468" s="41"/>
      <c r="G1468" s="41"/>
      <c r="H1468" s="162" t="s">
        <v>211</v>
      </c>
      <c r="I1468" s="66"/>
      <c r="J1468" s="126"/>
      <c r="K1468" s="204"/>
      <c r="L1468" s="205"/>
      <c r="M1468" s="205"/>
      <c r="N1468" s="205"/>
      <c r="O1468" s="205"/>
      <c r="P1468" s="205"/>
      <c r="Q1468" s="205"/>
      <c r="R1468" s="205"/>
      <c r="S1468" s="205"/>
      <c r="T1468" s="205"/>
      <c r="U1468" s="205"/>
      <c r="V1468" s="205"/>
      <c r="W1468" s="205"/>
      <c r="X1468" s="205"/>
      <c r="Y1468" s="205"/>
      <c r="Z1468" s="205"/>
      <c r="AA1468" s="205"/>
      <c r="AB1468" s="205"/>
      <c r="AC1468" s="205"/>
      <c r="AD1468" s="205"/>
      <c r="AE1468" s="205"/>
      <c r="AF1468" s="205"/>
      <c r="AG1468" s="205"/>
      <c r="AH1468" s="205"/>
      <c r="AI1468" s="205"/>
      <c r="AJ1468" s="747"/>
    </row>
    <row r="1469" spans="1:36" ht="14">
      <c r="A1469" s="40"/>
      <c r="B1469" s="40"/>
      <c r="C1469" s="124"/>
      <c r="D1469" s="124">
        <v>7</v>
      </c>
      <c r="E1469" s="124" t="s">
        <v>199</v>
      </c>
      <c r="F1469" s="41"/>
      <c r="G1469" s="41"/>
      <c r="H1469" s="66"/>
      <c r="I1469" s="125" t="s">
        <v>214</v>
      </c>
      <c r="J1469" s="452"/>
      <c r="K1469" s="453">
        <v>2000000</v>
      </c>
      <c r="L1469" s="454">
        <f>SUM(K1469)</f>
        <v>2000000</v>
      </c>
      <c r="M1469" s="454">
        <v>2581593</v>
      </c>
      <c r="N1469" s="454"/>
      <c r="O1469" s="454"/>
      <c r="P1469" s="454"/>
      <c r="Q1469" s="454">
        <v>-2000000</v>
      </c>
      <c r="R1469" s="454"/>
      <c r="S1469" s="217">
        <f t="shared" ref="S1469" si="1697">SUM(M1469:R1469)</f>
        <v>581593</v>
      </c>
      <c r="T1469" s="217">
        <f t="shared" ref="T1469" si="1698">S1469+L1469</f>
        <v>2581593</v>
      </c>
      <c r="U1469" s="454"/>
      <c r="V1469" s="454"/>
      <c r="W1469" s="454"/>
      <c r="X1469" s="454"/>
      <c r="Y1469" s="454"/>
      <c r="Z1469" s="217">
        <f>SUM(U1469:Y1469)</f>
        <v>0</v>
      </c>
      <c r="AA1469" s="217">
        <f>Z1469+T1469</f>
        <v>2581593</v>
      </c>
      <c r="AB1469" s="454"/>
      <c r="AC1469" s="454"/>
      <c r="AD1469" s="454"/>
      <c r="AE1469" s="454"/>
      <c r="AF1469" s="454"/>
      <c r="AG1469" s="217">
        <f t="shared" ref="AG1469" si="1699">SUM(AB1469:AF1469)</f>
        <v>0</v>
      </c>
      <c r="AH1469" s="217">
        <f t="shared" ref="AH1469" si="1700">AG1469+AA1469</f>
        <v>2581593</v>
      </c>
      <c r="AI1469" s="217">
        <v>179705</v>
      </c>
      <c r="AJ1469" s="764">
        <f>AI1469/AH1469*100</f>
        <v>6.9610120572840106</v>
      </c>
    </row>
    <row r="1470" spans="1:36" ht="14">
      <c r="A1470" s="40"/>
      <c r="B1470" s="40"/>
      <c r="C1470" s="124"/>
      <c r="D1470" s="124"/>
      <c r="E1470" s="124"/>
      <c r="F1470" s="41"/>
      <c r="G1470" s="41"/>
      <c r="H1470" s="66"/>
      <c r="I1470" s="66"/>
      <c r="J1470" s="126"/>
      <c r="K1470" s="204"/>
      <c r="L1470" s="454"/>
      <c r="M1470" s="454"/>
      <c r="N1470" s="454"/>
      <c r="O1470" s="454"/>
      <c r="P1470" s="454"/>
      <c r="Q1470" s="454"/>
      <c r="R1470" s="454"/>
      <c r="S1470" s="454"/>
      <c r="T1470" s="454"/>
      <c r="U1470" s="454"/>
      <c r="V1470" s="454"/>
      <c r="W1470" s="454"/>
      <c r="X1470" s="454"/>
      <c r="Y1470" s="454"/>
      <c r="Z1470" s="454"/>
      <c r="AA1470" s="454"/>
      <c r="AB1470" s="454"/>
      <c r="AC1470" s="454"/>
      <c r="AD1470" s="454"/>
      <c r="AE1470" s="454"/>
      <c r="AF1470" s="454"/>
      <c r="AG1470" s="454"/>
      <c r="AH1470" s="454"/>
      <c r="AI1470" s="454"/>
      <c r="AJ1470" s="769"/>
    </row>
    <row r="1471" spans="1:36" ht="14">
      <c r="A1471" s="40"/>
      <c r="B1471" s="40"/>
      <c r="C1471" s="124"/>
      <c r="D1471" s="124"/>
      <c r="E1471" s="124"/>
      <c r="F1471" s="166"/>
      <c r="G1471" s="166"/>
      <c r="H1471" s="464"/>
      <c r="I1471" s="166" t="s">
        <v>37</v>
      </c>
      <c r="J1471" s="460"/>
      <c r="K1471" s="461">
        <f>SUM(K1469:K1470)</f>
        <v>2000000</v>
      </c>
      <c r="L1471" s="460">
        <f>SUM(L1469:L1470)</f>
        <v>2000000</v>
      </c>
      <c r="M1471" s="460">
        <f t="shared" ref="M1471:T1471" si="1701">SUM(M1469:M1470)</f>
        <v>2581593</v>
      </c>
      <c r="N1471" s="460">
        <f t="shared" si="1701"/>
        <v>0</v>
      </c>
      <c r="O1471" s="460">
        <f t="shared" si="1701"/>
        <v>0</v>
      </c>
      <c r="P1471" s="460">
        <f t="shared" si="1701"/>
        <v>0</v>
      </c>
      <c r="Q1471" s="460">
        <f t="shared" si="1701"/>
        <v>-2000000</v>
      </c>
      <c r="R1471" s="460">
        <f t="shared" si="1701"/>
        <v>0</v>
      </c>
      <c r="S1471" s="460">
        <f t="shared" si="1701"/>
        <v>581593</v>
      </c>
      <c r="T1471" s="460">
        <f t="shared" si="1701"/>
        <v>2581593</v>
      </c>
      <c r="U1471" s="460"/>
      <c r="V1471" s="460"/>
      <c r="W1471" s="460"/>
      <c r="X1471" s="460"/>
      <c r="Y1471" s="460"/>
      <c r="Z1471" s="460">
        <f t="shared" ref="Z1471:AA1471" si="1702">SUM(Z1469:Z1470)</f>
        <v>0</v>
      </c>
      <c r="AA1471" s="460">
        <f t="shared" si="1702"/>
        <v>2581593</v>
      </c>
      <c r="AB1471" s="460"/>
      <c r="AC1471" s="460"/>
      <c r="AD1471" s="460"/>
      <c r="AE1471" s="460"/>
      <c r="AF1471" s="460"/>
      <c r="AG1471" s="460">
        <f t="shared" ref="AG1471:AI1471" si="1703">SUM(AG1469:AG1470)</f>
        <v>0</v>
      </c>
      <c r="AH1471" s="460">
        <f t="shared" si="1703"/>
        <v>2581593</v>
      </c>
      <c r="AI1471" s="460">
        <f t="shared" si="1703"/>
        <v>179705</v>
      </c>
      <c r="AJ1471" s="776">
        <f>AI1471/AH1471*100</f>
        <v>6.9610120572840106</v>
      </c>
    </row>
    <row r="1472" spans="1:36" ht="14.5" customHeight="1">
      <c r="A1472" s="40"/>
      <c r="B1472" s="40"/>
      <c r="C1472" s="124"/>
      <c r="D1472" s="124"/>
      <c r="E1472" s="124"/>
      <c r="F1472" s="41"/>
      <c r="G1472" s="41"/>
      <c r="H1472" s="66"/>
      <c r="I1472" s="41"/>
      <c r="J1472" s="126"/>
      <c r="K1472" s="204"/>
      <c r="L1472" s="205"/>
      <c r="M1472" s="205"/>
      <c r="N1472" s="205"/>
      <c r="O1472" s="205"/>
      <c r="P1472" s="205"/>
      <c r="Q1472" s="205"/>
      <c r="R1472" s="205"/>
      <c r="S1472" s="205"/>
      <c r="T1472" s="205"/>
      <c r="U1472" s="205"/>
      <c r="V1472" s="205"/>
      <c r="W1472" s="205"/>
      <c r="X1472" s="205"/>
      <c r="Y1472" s="205"/>
      <c r="Z1472" s="205"/>
      <c r="AA1472" s="205"/>
      <c r="AB1472" s="205"/>
      <c r="AC1472" s="205"/>
      <c r="AD1472" s="205"/>
      <c r="AE1472" s="205"/>
      <c r="AF1472" s="205"/>
      <c r="AG1472" s="205"/>
      <c r="AH1472" s="205"/>
      <c r="AI1472" s="205"/>
      <c r="AJ1472" s="747"/>
    </row>
    <row r="1473" spans="1:36" ht="14.5" customHeight="1">
      <c r="A1473" s="40">
        <v>151</v>
      </c>
      <c r="B1473" s="40"/>
      <c r="C1473" s="124"/>
      <c r="D1473" s="124"/>
      <c r="E1473" s="124"/>
      <c r="F1473" s="41" t="s">
        <v>524</v>
      </c>
      <c r="G1473" s="41"/>
      <c r="H1473" s="66"/>
      <c r="I1473" s="41"/>
      <c r="J1473" s="126"/>
      <c r="K1473" s="204"/>
      <c r="L1473" s="205"/>
      <c r="M1473" s="205"/>
      <c r="N1473" s="205"/>
      <c r="O1473" s="205"/>
      <c r="P1473" s="205"/>
      <c r="Q1473" s="205"/>
      <c r="R1473" s="205"/>
      <c r="S1473" s="205"/>
      <c r="T1473" s="205"/>
      <c r="U1473" s="205"/>
      <c r="V1473" s="205"/>
      <c r="W1473" s="205"/>
      <c r="X1473" s="205"/>
      <c r="Y1473" s="205"/>
      <c r="Z1473" s="205"/>
      <c r="AA1473" s="205"/>
      <c r="AB1473" s="205"/>
      <c r="AC1473" s="205"/>
      <c r="AD1473" s="205"/>
      <c r="AE1473" s="205"/>
      <c r="AF1473" s="205"/>
      <c r="AG1473" s="205"/>
      <c r="AH1473" s="205"/>
      <c r="AI1473" s="205"/>
      <c r="AJ1473" s="747"/>
    </row>
    <row r="1474" spans="1:36" ht="14.5" customHeight="1">
      <c r="A1474" s="40"/>
      <c r="B1474" s="40"/>
      <c r="C1474" s="124">
        <v>2</v>
      </c>
      <c r="D1474" s="124"/>
      <c r="E1474" s="124"/>
      <c r="F1474" s="41"/>
      <c r="G1474" s="41"/>
      <c r="H1474" s="162" t="s">
        <v>211</v>
      </c>
      <c r="I1474" s="66"/>
      <c r="J1474" s="126"/>
      <c r="K1474" s="204"/>
      <c r="L1474" s="205"/>
      <c r="M1474" s="205"/>
      <c r="N1474" s="205"/>
      <c r="O1474" s="205"/>
      <c r="P1474" s="205"/>
      <c r="Q1474" s="205"/>
      <c r="R1474" s="205"/>
      <c r="S1474" s="205"/>
      <c r="T1474" s="205"/>
      <c r="U1474" s="205"/>
      <c r="V1474" s="205"/>
      <c r="W1474" s="205"/>
      <c r="X1474" s="205"/>
      <c r="Y1474" s="205"/>
      <c r="Z1474" s="205"/>
      <c r="AA1474" s="205"/>
      <c r="AB1474" s="205"/>
      <c r="AC1474" s="205"/>
      <c r="AD1474" s="205"/>
      <c r="AE1474" s="205"/>
      <c r="AF1474" s="205"/>
      <c r="AG1474" s="205"/>
      <c r="AH1474" s="205"/>
      <c r="AI1474" s="205"/>
      <c r="AJ1474" s="747"/>
    </row>
    <row r="1475" spans="1:36" ht="14.5" customHeight="1">
      <c r="A1475" s="40"/>
      <c r="B1475" s="40"/>
      <c r="C1475" s="124"/>
      <c r="D1475" s="124">
        <v>7</v>
      </c>
      <c r="E1475" s="124" t="s">
        <v>199</v>
      </c>
      <c r="F1475" s="41"/>
      <c r="G1475" s="41"/>
      <c r="H1475" s="66"/>
      <c r="I1475" s="125" t="s">
        <v>214</v>
      </c>
      <c r="J1475" s="452"/>
      <c r="K1475" s="453">
        <v>30000000</v>
      </c>
      <c r="L1475" s="454">
        <f>SUM(K1475)</f>
        <v>30000000</v>
      </c>
      <c r="M1475" s="454"/>
      <c r="N1475" s="454"/>
      <c r="O1475" s="454"/>
      <c r="P1475" s="454"/>
      <c r="Q1475" s="454"/>
      <c r="R1475" s="454"/>
      <c r="S1475" s="217">
        <f t="shared" ref="S1475" si="1704">SUM(M1475:R1475)</f>
        <v>0</v>
      </c>
      <c r="T1475" s="217">
        <f t="shared" ref="T1475" si="1705">S1475+L1475</f>
        <v>30000000</v>
      </c>
      <c r="U1475" s="454"/>
      <c r="V1475" s="454"/>
      <c r="W1475" s="454"/>
      <c r="X1475" s="454"/>
      <c r="Y1475" s="454"/>
      <c r="Z1475" s="217">
        <f>SUM(U1475:Y1475)</f>
        <v>0</v>
      </c>
      <c r="AA1475" s="217">
        <f>Z1475+T1475</f>
        <v>30000000</v>
      </c>
      <c r="AB1475" s="454"/>
      <c r="AC1475" s="454"/>
      <c r="AD1475" s="454"/>
      <c r="AE1475" s="454"/>
      <c r="AF1475" s="454"/>
      <c r="AG1475" s="217">
        <f t="shared" ref="AG1475" si="1706">SUM(AB1475:AF1475)</f>
        <v>0</v>
      </c>
      <c r="AH1475" s="217">
        <f t="shared" ref="AH1475" si="1707">AG1475+AA1475</f>
        <v>30000000</v>
      </c>
      <c r="AI1475" s="217"/>
      <c r="AJ1475" s="764"/>
    </row>
    <row r="1476" spans="1:36" ht="14.5" customHeight="1">
      <c r="A1476" s="40"/>
      <c r="B1476" s="40"/>
      <c r="C1476" s="124"/>
      <c r="D1476" s="124"/>
      <c r="E1476" s="124"/>
      <c r="F1476" s="41"/>
      <c r="G1476" s="41"/>
      <c r="H1476" s="66"/>
      <c r="I1476" s="66"/>
      <c r="J1476" s="126"/>
      <c r="K1476" s="204"/>
      <c r="L1476" s="454"/>
      <c r="M1476" s="454"/>
      <c r="N1476" s="454"/>
      <c r="O1476" s="454"/>
      <c r="P1476" s="454"/>
      <c r="Q1476" s="454"/>
      <c r="R1476" s="454"/>
      <c r="S1476" s="454"/>
      <c r="T1476" s="454"/>
      <c r="U1476" s="454"/>
      <c r="V1476" s="454"/>
      <c r="W1476" s="454"/>
      <c r="X1476" s="454"/>
      <c r="Y1476" s="454"/>
      <c r="Z1476" s="454"/>
      <c r="AA1476" s="454"/>
      <c r="AB1476" s="454"/>
      <c r="AC1476" s="454"/>
      <c r="AD1476" s="454"/>
      <c r="AE1476" s="454"/>
      <c r="AF1476" s="454"/>
      <c r="AG1476" s="454"/>
      <c r="AH1476" s="454"/>
      <c r="AI1476" s="454"/>
      <c r="AJ1476" s="769"/>
    </row>
    <row r="1477" spans="1:36" ht="14.5" customHeight="1">
      <c r="A1477" s="40"/>
      <c r="B1477" s="40"/>
      <c r="C1477" s="124"/>
      <c r="D1477" s="124"/>
      <c r="E1477" s="124"/>
      <c r="F1477" s="166"/>
      <c r="G1477" s="166"/>
      <c r="H1477" s="464"/>
      <c r="I1477" s="166" t="s">
        <v>37</v>
      </c>
      <c r="J1477" s="460"/>
      <c r="K1477" s="461">
        <f>SUM(K1475:K1476)</f>
        <v>30000000</v>
      </c>
      <c r="L1477" s="460">
        <f>SUM(L1475:L1476)</f>
        <v>30000000</v>
      </c>
      <c r="M1477" s="460">
        <f t="shared" ref="M1477:T1477" si="1708">SUM(M1475:M1476)</f>
        <v>0</v>
      </c>
      <c r="N1477" s="460">
        <f t="shared" si="1708"/>
        <v>0</v>
      </c>
      <c r="O1477" s="460">
        <f t="shared" si="1708"/>
        <v>0</v>
      </c>
      <c r="P1477" s="460">
        <f t="shared" si="1708"/>
        <v>0</v>
      </c>
      <c r="Q1477" s="460">
        <f t="shared" si="1708"/>
        <v>0</v>
      </c>
      <c r="R1477" s="460">
        <f t="shared" si="1708"/>
        <v>0</v>
      </c>
      <c r="S1477" s="460">
        <f t="shared" si="1708"/>
        <v>0</v>
      </c>
      <c r="T1477" s="460">
        <f t="shared" si="1708"/>
        <v>30000000</v>
      </c>
      <c r="U1477" s="460"/>
      <c r="V1477" s="460"/>
      <c r="W1477" s="460"/>
      <c r="X1477" s="460">
        <f t="shared" ref="X1477:AA1477" si="1709">SUM(X1475:X1476)</f>
        <v>0</v>
      </c>
      <c r="Y1477" s="460"/>
      <c r="Z1477" s="460">
        <f t="shared" si="1709"/>
        <v>0</v>
      </c>
      <c r="AA1477" s="460">
        <f t="shared" si="1709"/>
        <v>30000000</v>
      </c>
      <c r="AB1477" s="460"/>
      <c r="AC1477" s="460"/>
      <c r="AD1477" s="460"/>
      <c r="AE1477" s="460">
        <f t="shared" ref="AE1477" si="1710">SUM(AE1475:AE1476)</f>
        <v>0</v>
      </c>
      <c r="AF1477" s="460"/>
      <c r="AG1477" s="460">
        <f t="shared" ref="AG1477:AH1477" si="1711">SUM(AG1475:AG1476)</f>
        <v>0</v>
      </c>
      <c r="AH1477" s="460">
        <f t="shared" si="1711"/>
        <v>30000000</v>
      </c>
      <c r="AI1477" s="460"/>
      <c r="AJ1477" s="776"/>
    </row>
    <row r="1478" spans="1:36" ht="14">
      <c r="A1478" s="40"/>
      <c r="B1478" s="40"/>
      <c r="C1478" s="124"/>
      <c r="D1478" s="124"/>
      <c r="E1478" s="124"/>
      <c r="F1478" s="41"/>
      <c r="G1478" s="41"/>
      <c r="H1478" s="66"/>
      <c r="I1478" s="41"/>
      <c r="J1478" s="126"/>
      <c r="K1478" s="204"/>
      <c r="L1478" s="205"/>
      <c r="M1478" s="205"/>
      <c r="N1478" s="205"/>
      <c r="O1478" s="205"/>
      <c r="P1478" s="205"/>
      <c r="Q1478" s="205"/>
      <c r="R1478" s="205"/>
      <c r="S1478" s="205"/>
      <c r="T1478" s="205"/>
      <c r="U1478" s="205"/>
      <c r="V1478" s="205"/>
      <c r="W1478" s="205"/>
      <c r="X1478" s="205"/>
      <c r="Y1478" s="205"/>
      <c r="Z1478" s="205"/>
      <c r="AA1478" s="205"/>
      <c r="AB1478" s="205"/>
      <c r="AC1478" s="205"/>
      <c r="AD1478" s="205"/>
      <c r="AE1478" s="205"/>
      <c r="AF1478" s="205"/>
      <c r="AG1478" s="205"/>
      <c r="AH1478" s="205"/>
      <c r="AI1478" s="205"/>
      <c r="AJ1478" s="747"/>
    </row>
    <row r="1479" spans="1:36" ht="14">
      <c r="A1479" s="40">
        <v>152</v>
      </c>
      <c r="B1479" s="40"/>
      <c r="C1479" s="124"/>
      <c r="D1479" s="124"/>
      <c r="E1479" s="124"/>
      <c r="F1479" s="41" t="s">
        <v>387</v>
      </c>
      <c r="G1479" s="41"/>
      <c r="H1479" s="66"/>
      <c r="I1479" s="41"/>
      <c r="J1479" s="126"/>
      <c r="K1479" s="204"/>
      <c r="L1479" s="205"/>
      <c r="M1479" s="205"/>
      <c r="N1479" s="205"/>
      <c r="O1479" s="205"/>
      <c r="P1479" s="205"/>
      <c r="Q1479" s="205"/>
      <c r="R1479" s="205"/>
      <c r="S1479" s="205"/>
      <c r="T1479" s="205"/>
      <c r="U1479" s="205"/>
      <c r="V1479" s="205"/>
      <c r="W1479" s="205"/>
      <c r="X1479" s="205"/>
      <c r="Y1479" s="205"/>
      <c r="Z1479" s="205"/>
      <c r="AA1479" s="205"/>
      <c r="AB1479" s="205"/>
      <c r="AC1479" s="205"/>
      <c r="AD1479" s="205"/>
      <c r="AE1479" s="205"/>
      <c r="AF1479" s="205"/>
      <c r="AG1479" s="205"/>
      <c r="AH1479" s="205"/>
      <c r="AI1479" s="205"/>
      <c r="AJ1479" s="747"/>
    </row>
    <row r="1480" spans="1:36" ht="14">
      <c r="A1480" s="40"/>
      <c r="B1480" s="40">
        <v>1</v>
      </c>
      <c r="C1480" s="124"/>
      <c r="D1480" s="124"/>
      <c r="E1480" s="124"/>
      <c r="F1480" s="41"/>
      <c r="G1480" s="41" t="s">
        <v>388</v>
      </c>
      <c r="H1480" s="66"/>
      <c r="I1480" s="41"/>
      <c r="J1480" s="126"/>
      <c r="K1480" s="204"/>
      <c r="L1480" s="205"/>
      <c r="M1480" s="205"/>
      <c r="N1480" s="205"/>
      <c r="O1480" s="205"/>
      <c r="P1480" s="205"/>
      <c r="Q1480" s="205"/>
      <c r="R1480" s="205"/>
      <c r="S1480" s="205"/>
      <c r="T1480" s="205"/>
      <c r="U1480" s="205"/>
      <c r="V1480" s="205"/>
      <c r="W1480" s="205"/>
      <c r="X1480" s="205"/>
      <c r="Y1480" s="205"/>
      <c r="Z1480" s="205"/>
      <c r="AA1480" s="205"/>
      <c r="AB1480" s="205"/>
      <c r="AC1480" s="205"/>
      <c r="AD1480" s="205"/>
      <c r="AE1480" s="205"/>
      <c r="AF1480" s="205"/>
      <c r="AG1480" s="205"/>
      <c r="AH1480" s="205"/>
      <c r="AI1480" s="205"/>
      <c r="AJ1480" s="747"/>
    </row>
    <row r="1481" spans="1:36" ht="14">
      <c r="A1481" s="40"/>
      <c r="B1481" s="40"/>
      <c r="C1481" s="124">
        <v>1</v>
      </c>
      <c r="D1481" s="124"/>
      <c r="E1481" s="124"/>
      <c r="F1481" s="41"/>
      <c r="G1481" s="41"/>
      <c r="H1481" s="66" t="s">
        <v>35</v>
      </c>
      <c r="I1481" s="41"/>
      <c r="J1481" s="126"/>
      <c r="K1481" s="204"/>
      <c r="L1481" s="205"/>
      <c r="M1481" s="205"/>
      <c r="N1481" s="205"/>
      <c r="O1481" s="205"/>
      <c r="P1481" s="205"/>
      <c r="Q1481" s="205"/>
      <c r="R1481" s="205"/>
      <c r="S1481" s="205"/>
      <c r="T1481" s="205"/>
      <c r="U1481" s="205"/>
      <c r="V1481" s="205"/>
      <c r="W1481" s="205"/>
      <c r="X1481" s="205"/>
      <c r="Y1481" s="205"/>
      <c r="Z1481" s="205"/>
      <c r="AA1481" s="205"/>
      <c r="AB1481" s="205"/>
      <c r="AC1481" s="205"/>
      <c r="AD1481" s="205"/>
      <c r="AE1481" s="205"/>
      <c r="AF1481" s="205"/>
      <c r="AG1481" s="205"/>
      <c r="AH1481" s="205"/>
      <c r="AI1481" s="205"/>
      <c r="AJ1481" s="747"/>
    </row>
    <row r="1482" spans="1:36" ht="14">
      <c r="A1482" s="40"/>
      <c r="B1482" s="40"/>
      <c r="C1482" s="124"/>
      <c r="D1482" s="124">
        <v>3</v>
      </c>
      <c r="E1482" s="124" t="s">
        <v>199</v>
      </c>
      <c r="F1482" s="41"/>
      <c r="G1482" s="41"/>
      <c r="H1482" s="66"/>
      <c r="I1482" s="125" t="s">
        <v>116</v>
      </c>
      <c r="J1482" s="452">
        <v>26966754</v>
      </c>
      <c r="K1482" s="204"/>
      <c r="L1482" s="454">
        <f>J1482+K1482</f>
        <v>26966754</v>
      </c>
      <c r="M1482" s="454">
        <v>2848176</v>
      </c>
      <c r="N1482" s="454"/>
      <c r="O1482" s="454"/>
      <c r="P1482" s="454"/>
      <c r="Q1482" s="454"/>
      <c r="R1482" s="454"/>
      <c r="S1482" s="217">
        <f t="shared" ref="S1482:S1484" si="1712">SUM(M1482:R1482)</f>
        <v>2848176</v>
      </c>
      <c r="T1482" s="217">
        <f t="shared" ref="T1482:T1484" si="1713">S1482+L1482</f>
        <v>29814930</v>
      </c>
      <c r="U1482" s="454"/>
      <c r="V1482" s="454"/>
      <c r="W1482" s="454"/>
      <c r="X1482" s="454">
        <v>-15028000</v>
      </c>
      <c r="Y1482" s="454"/>
      <c r="Z1482" s="217">
        <f>SUM(U1482:Y1482)</f>
        <v>-15028000</v>
      </c>
      <c r="AA1482" s="217">
        <f>Z1482+T1482</f>
        <v>14786930</v>
      </c>
      <c r="AB1482" s="454"/>
      <c r="AC1482" s="454"/>
      <c r="AD1482" s="454"/>
      <c r="AE1482" s="454">
        <v>-11938754</v>
      </c>
      <c r="AF1482" s="454"/>
      <c r="AG1482" s="217">
        <f t="shared" ref="AG1482" si="1714">SUM(AB1482:AF1482)</f>
        <v>-11938754</v>
      </c>
      <c r="AH1482" s="217">
        <f t="shared" ref="AH1482" si="1715">AG1482+AA1482</f>
        <v>2848176</v>
      </c>
      <c r="AI1482" s="217">
        <v>1890926</v>
      </c>
      <c r="AJ1482" s="764">
        <f>AI1482/AH1482*100</f>
        <v>66.390770795063219</v>
      </c>
    </row>
    <row r="1483" spans="1:36" ht="14">
      <c r="A1483" s="40"/>
      <c r="B1483" s="40"/>
      <c r="C1483" s="124">
        <v>2</v>
      </c>
      <c r="D1483" s="124"/>
      <c r="E1483" s="124"/>
      <c r="F1483" s="41"/>
      <c r="G1483" s="41"/>
      <c r="H1483" s="66" t="s">
        <v>211</v>
      </c>
      <c r="I1483" s="41"/>
      <c r="J1483" s="126"/>
      <c r="K1483" s="204"/>
      <c r="L1483" s="454"/>
      <c r="M1483" s="454"/>
      <c r="N1483" s="454"/>
      <c r="O1483" s="454"/>
      <c r="P1483" s="454"/>
      <c r="Q1483" s="454"/>
      <c r="R1483" s="454"/>
      <c r="S1483" s="217"/>
      <c r="T1483" s="217"/>
      <c r="U1483" s="454"/>
      <c r="V1483" s="454"/>
      <c r="W1483" s="454"/>
      <c r="X1483" s="454"/>
      <c r="Y1483" s="454"/>
      <c r="Z1483" s="217"/>
      <c r="AA1483" s="217"/>
      <c r="AB1483" s="454"/>
      <c r="AC1483" s="454"/>
      <c r="AD1483" s="454"/>
      <c r="AE1483" s="454"/>
      <c r="AF1483" s="454"/>
      <c r="AG1483" s="217"/>
      <c r="AH1483" s="217"/>
      <c r="AI1483" s="217"/>
      <c r="AJ1483" s="764"/>
    </row>
    <row r="1484" spans="1:36" ht="14">
      <c r="A1484" s="40"/>
      <c r="B1484" s="40"/>
      <c r="C1484" s="124"/>
      <c r="D1484" s="124">
        <v>7</v>
      </c>
      <c r="E1484" s="124" t="s">
        <v>199</v>
      </c>
      <c r="F1484" s="41"/>
      <c r="G1484" s="41"/>
      <c r="H1484" s="66"/>
      <c r="I1484" s="125" t="s">
        <v>214</v>
      </c>
      <c r="J1484" s="452"/>
      <c r="K1484" s="453">
        <v>93033246</v>
      </c>
      <c r="L1484" s="454">
        <f>J1484+K1484</f>
        <v>93033246</v>
      </c>
      <c r="M1484" s="454"/>
      <c r="N1484" s="454"/>
      <c r="O1484" s="454"/>
      <c r="P1484" s="454"/>
      <c r="Q1484" s="454"/>
      <c r="R1484" s="454"/>
      <c r="S1484" s="217">
        <f t="shared" si="1712"/>
        <v>0</v>
      </c>
      <c r="T1484" s="217">
        <f t="shared" si="1713"/>
        <v>93033246</v>
      </c>
      <c r="U1484" s="454"/>
      <c r="V1484" s="454"/>
      <c r="W1484" s="454"/>
      <c r="X1484" s="454"/>
      <c r="Y1484" s="454"/>
      <c r="Z1484" s="217">
        <f>SUM(U1484:Y1484)</f>
        <v>0</v>
      </c>
      <c r="AA1484" s="217">
        <f>Z1484+T1484</f>
        <v>93033246</v>
      </c>
      <c r="AB1484" s="454"/>
      <c r="AC1484" s="454"/>
      <c r="AD1484" s="454"/>
      <c r="AE1484" s="454">
        <v>-5125522</v>
      </c>
      <c r="AF1484" s="454"/>
      <c r="AG1484" s="217">
        <f t="shared" ref="AG1484" si="1716">SUM(AB1484:AF1484)</f>
        <v>-5125522</v>
      </c>
      <c r="AH1484" s="217">
        <f t="shared" ref="AH1484" si="1717">AG1484+AA1484</f>
        <v>87907724</v>
      </c>
      <c r="AI1484" s="217">
        <v>87907724</v>
      </c>
      <c r="AJ1484" s="764">
        <f>AI1484/AH1484*100</f>
        <v>100</v>
      </c>
    </row>
    <row r="1485" spans="1:36" ht="14">
      <c r="A1485" s="40"/>
      <c r="B1485" s="40"/>
      <c r="C1485" s="124"/>
      <c r="D1485" s="124"/>
      <c r="E1485" s="124"/>
      <c r="F1485" s="41"/>
      <c r="G1485" s="41"/>
      <c r="H1485" s="66"/>
      <c r="I1485" s="41"/>
      <c r="J1485" s="126"/>
      <c r="K1485" s="204"/>
      <c r="L1485" s="454"/>
      <c r="M1485" s="454"/>
      <c r="N1485" s="454"/>
      <c r="O1485" s="454"/>
      <c r="P1485" s="454"/>
      <c r="Q1485" s="454"/>
      <c r="R1485" s="454"/>
      <c r="S1485" s="454"/>
      <c r="T1485" s="454"/>
      <c r="U1485" s="454"/>
      <c r="V1485" s="454"/>
      <c r="W1485" s="454"/>
      <c r="X1485" s="454"/>
      <c r="Y1485" s="454"/>
      <c r="Z1485" s="454"/>
      <c r="AA1485" s="454"/>
      <c r="AB1485" s="454"/>
      <c r="AC1485" s="454"/>
      <c r="AD1485" s="454"/>
      <c r="AE1485" s="454"/>
      <c r="AF1485" s="454"/>
      <c r="AG1485" s="454"/>
      <c r="AH1485" s="454"/>
      <c r="AI1485" s="454"/>
      <c r="AJ1485" s="769"/>
    </row>
    <row r="1486" spans="1:36" ht="14">
      <c r="A1486" s="40"/>
      <c r="B1486" s="40"/>
      <c r="C1486" s="124"/>
      <c r="D1486" s="124"/>
      <c r="E1486" s="124"/>
      <c r="F1486" s="64"/>
      <c r="G1486" s="64"/>
      <c r="H1486" s="65"/>
      <c r="I1486" s="64" t="s">
        <v>38</v>
      </c>
      <c r="J1486" s="333">
        <f>SUM(J1482:J1485)</f>
        <v>26966754</v>
      </c>
      <c r="K1486" s="457">
        <f>SUM(K1482:K1485)</f>
        <v>93033246</v>
      </c>
      <c r="L1486" s="458">
        <f>SUM(L1482:L1485)</f>
        <v>120000000</v>
      </c>
      <c r="M1486" s="458">
        <f t="shared" ref="M1486:T1486" si="1718">SUM(M1482:M1485)</f>
        <v>2848176</v>
      </c>
      <c r="N1486" s="458">
        <f t="shared" si="1718"/>
        <v>0</v>
      </c>
      <c r="O1486" s="458">
        <f t="shared" si="1718"/>
        <v>0</v>
      </c>
      <c r="P1486" s="458">
        <f t="shared" si="1718"/>
        <v>0</v>
      </c>
      <c r="Q1486" s="458">
        <f t="shared" si="1718"/>
        <v>0</v>
      </c>
      <c r="R1486" s="458">
        <f t="shared" si="1718"/>
        <v>0</v>
      </c>
      <c r="S1486" s="458">
        <f t="shared" si="1718"/>
        <v>2848176</v>
      </c>
      <c r="T1486" s="458">
        <f t="shared" si="1718"/>
        <v>122848176</v>
      </c>
      <c r="U1486" s="458"/>
      <c r="V1486" s="458"/>
      <c r="W1486" s="458"/>
      <c r="X1486" s="458">
        <f t="shared" ref="X1486:AA1486" si="1719">SUM(X1482:X1485)</f>
        <v>-15028000</v>
      </c>
      <c r="Y1486" s="458"/>
      <c r="Z1486" s="458">
        <f t="shared" si="1719"/>
        <v>-15028000</v>
      </c>
      <c r="AA1486" s="458">
        <f t="shared" si="1719"/>
        <v>107820176</v>
      </c>
      <c r="AB1486" s="458"/>
      <c r="AC1486" s="458"/>
      <c r="AD1486" s="458"/>
      <c r="AE1486" s="458">
        <f t="shared" ref="AE1486" si="1720">SUM(AE1482:AE1485)</f>
        <v>-17064276</v>
      </c>
      <c r="AF1486" s="458"/>
      <c r="AG1486" s="458">
        <f t="shared" ref="AG1486:AI1486" si="1721">SUM(AG1482:AG1485)</f>
        <v>-17064276</v>
      </c>
      <c r="AH1486" s="458">
        <f t="shared" si="1721"/>
        <v>90755900</v>
      </c>
      <c r="AI1486" s="458">
        <f t="shared" si="1721"/>
        <v>89798650</v>
      </c>
      <c r="AJ1486" s="776">
        <f>AI1486/AH1486*100</f>
        <v>98.945247636792757</v>
      </c>
    </row>
    <row r="1487" spans="1:36" ht="14">
      <c r="A1487" s="40"/>
      <c r="B1487" s="40"/>
      <c r="C1487" s="124"/>
      <c r="D1487" s="124"/>
      <c r="E1487" s="124"/>
      <c r="F1487" s="41"/>
      <c r="G1487" s="41"/>
      <c r="H1487" s="66"/>
      <c r="I1487" s="41"/>
      <c r="J1487" s="126"/>
      <c r="K1487" s="204"/>
      <c r="L1487" s="205"/>
      <c r="M1487" s="205"/>
      <c r="N1487" s="205"/>
      <c r="O1487" s="205"/>
      <c r="P1487" s="205"/>
      <c r="Q1487" s="205"/>
      <c r="R1487" s="205"/>
      <c r="S1487" s="205"/>
      <c r="T1487" s="205"/>
      <c r="U1487" s="205"/>
      <c r="V1487" s="205"/>
      <c r="W1487" s="205"/>
      <c r="X1487" s="205"/>
      <c r="Y1487" s="205"/>
      <c r="Z1487" s="205"/>
      <c r="AA1487" s="205"/>
      <c r="AB1487" s="205"/>
      <c r="AC1487" s="205"/>
      <c r="AD1487" s="205"/>
      <c r="AE1487" s="205"/>
      <c r="AF1487" s="205"/>
      <c r="AG1487" s="205"/>
      <c r="AH1487" s="205"/>
      <c r="AI1487" s="205"/>
      <c r="AJ1487" s="747"/>
    </row>
    <row r="1488" spans="1:36" ht="14">
      <c r="A1488" s="40"/>
      <c r="B1488" s="40">
        <v>2</v>
      </c>
      <c r="C1488" s="124"/>
      <c r="D1488" s="124"/>
      <c r="E1488" s="124"/>
      <c r="F1488" s="41"/>
      <c r="G1488" s="41" t="s">
        <v>389</v>
      </c>
      <c r="H1488" s="66"/>
      <c r="I1488" s="41"/>
      <c r="J1488" s="126"/>
      <c r="K1488" s="204"/>
      <c r="L1488" s="205"/>
      <c r="M1488" s="205"/>
      <c r="N1488" s="205"/>
      <c r="O1488" s="205"/>
      <c r="P1488" s="205"/>
      <c r="Q1488" s="205"/>
      <c r="R1488" s="205"/>
      <c r="S1488" s="205"/>
      <c r="T1488" s="205"/>
      <c r="U1488" s="205"/>
      <c r="V1488" s="205"/>
      <c r="W1488" s="205"/>
      <c r="X1488" s="205"/>
      <c r="Y1488" s="205"/>
      <c r="Z1488" s="205"/>
      <c r="AA1488" s="205"/>
      <c r="AB1488" s="205"/>
      <c r="AC1488" s="205"/>
      <c r="AD1488" s="205"/>
      <c r="AE1488" s="205"/>
      <c r="AF1488" s="205"/>
      <c r="AG1488" s="205"/>
      <c r="AH1488" s="205"/>
      <c r="AI1488" s="205"/>
      <c r="AJ1488" s="747"/>
    </row>
    <row r="1489" spans="1:36" ht="14">
      <c r="A1489" s="40"/>
      <c r="B1489" s="40"/>
      <c r="C1489" s="124">
        <v>1</v>
      </c>
      <c r="D1489" s="124"/>
      <c r="E1489" s="124"/>
      <c r="F1489" s="41"/>
      <c r="G1489" s="41"/>
      <c r="H1489" s="66" t="s">
        <v>35</v>
      </c>
      <c r="I1489" s="41"/>
      <c r="J1489" s="126"/>
      <c r="K1489" s="204"/>
      <c r="L1489" s="205"/>
      <c r="M1489" s="205"/>
      <c r="N1489" s="205"/>
      <c r="O1489" s="205"/>
      <c r="P1489" s="205"/>
      <c r="Q1489" s="205"/>
      <c r="R1489" s="205"/>
      <c r="S1489" s="205"/>
      <c r="T1489" s="205"/>
      <c r="U1489" s="205"/>
      <c r="V1489" s="205"/>
      <c r="W1489" s="205"/>
      <c r="X1489" s="205"/>
      <c r="Y1489" s="205"/>
      <c r="Z1489" s="205"/>
      <c r="AA1489" s="205"/>
      <c r="AB1489" s="205"/>
      <c r="AC1489" s="205"/>
      <c r="AD1489" s="205"/>
      <c r="AE1489" s="205"/>
      <c r="AF1489" s="205"/>
      <c r="AG1489" s="205"/>
      <c r="AH1489" s="205"/>
      <c r="AI1489" s="205"/>
      <c r="AJ1489" s="747"/>
    </row>
    <row r="1490" spans="1:36" ht="14">
      <c r="A1490" s="40"/>
      <c r="B1490" s="40"/>
      <c r="C1490" s="124"/>
      <c r="D1490" s="124">
        <v>3</v>
      </c>
      <c r="E1490" s="124" t="s">
        <v>199</v>
      </c>
      <c r="F1490" s="41"/>
      <c r="G1490" s="41"/>
      <c r="H1490" s="66"/>
      <c r="I1490" s="125" t="s">
        <v>116</v>
      </c>
      <c r="J1490" s="452">
        <v>4065228</v>
      </c>
      <c r="K1490" s="204"/>
      <c r="L1490" s="454">
        <f>J1490+K1490</f>
        <v>4065228</v>
      </c>
      <c r="M1490" s="454"/>
      <c r="N1490" s="454"/>
      <c r="O1490" s="454"/>
      <c r="P1490" s="454"/>
      <c r="Q1490" s="454"/>
      <c r="R1490" s="454"/>
      <c r="S1490" s="217">
        <f t="shared" ref="S1490:S1492" si="1722">SUM(M1490:R1490)</f>
        <v>0</v>
      </c>
      <c r="T1490" s="217">
        <f t="shared" ref="T1490:T1492" si="1723">S1490+L1490</f>
        <v>4065228</v>
      </c>
      <c r="U1490" s="454"/>
      <c r="V1490" s="454"/>
      <c r="W1490" s="454"/>
      <c r="X1490" s="454"/>
      <c r="Y1490" s="454"/>
      <c r="Z1490" s="217">
        <f>SUM(U1490:Y1490)</f>
        <v>0</v>
      </c>
      <c r="AA1490" s="217">
        <f>Z1490+T1490</f>
        <v>4065228</v>
      </c>
      <c r="AB1490" s="454"/>
      <c r="AC1490" s="454"/>
      <c r="AD1490" s="454"/>
      <c r="AE1490" s="454">
        <v>-755232</v>
      </c>
      <c r="AF1490" s="454"/>
      <c r="AG1490" s="217">
        <f t="shared" ref="AG1490" si="1724">SUM(AB1490:AF1490)</f>
        <v>-755232</v>
      </c>
      <c r="AH1490" s="217">
        <f t="shared" ref="AH1490" si="1725">AG1490+AA1490</f>
        <v>3309996</v>
      </c>
      <c r="AI1490" s="217">
        <v>3159996</v>
      </c>
      <c r="AJ1490" s="764">
        <f>AI1490/AH1490*100</f>
        <v>95.468272469211442</v>
      </c>
    </row>
    <row r="1491" spans="1:36" ht="14">
      <c r="A1491" s="40"/>
      <c r="B1491" s="40"/>
      <c r="C1491" s="124">
        <v>2</v>
      </c>
      <c r="D1491" s="124"/>
      <c r="E1491" s="124"/>
      <c r="F1491" s="41"/>
      <c r="G1491" s="41"/>
      <c r="H1491" s="66" t="s">
        <v>211</v>
      </c>
      <c r="I1491" s="41"/>
      <c r="J1491" s="126"/>
      <c r="K1491" s="204"/>
      <c r="L1491" s="454"/>
      <c r="M1491" s="454"/>
      <c r="N1491" s="454"/>
      <c r="O1491" s="454"/>
      <c r="P1491" s="454"/>
      <c r="Q1491" s="454"/>
      <c r="R1491" s="454"/>
      <c r="S1491" s="217"/>
      <c r="T1491" s="217"/>
      <c r="U1491" s="454"/>
      <c r="V1491" s="454"/>
      <c r="W1491" s="454"/>
      <c r="X1491" s="454"/>
      <c r="Y1491" s="454"/>
      <c r="Z1491" s="217"/>
      <c r="AA1491" s="217"/>
      <c r="AB1491" s="454"/>
      <c r="AC1491" s="454"/>
      <c r="AD1491" s="454"/>
      <c r="AE1491" s="454"/>
      <c r="AF1491" s="454"/>
      <c r="AG1491" s="217"/>
      <c r="AH1491" s="217"/>
      <c r="AI1491" s="217"/>
      <c r="AJ1491" s="764"/>
    </row>
    <row r="1492" spans="1:36" ht="14">
      <c r="A1492" s="40"/>
      <c r="B1492" s="40"/>
      <c r="C1492" s="124"/>
      <c r="D1492" s="124">
        <v>7</v>
      </c>
      <c r="E1492" s="124" t="s">
        <v>199</v>
      </c>
      <c r="F1492" s="41"/>
      <c r="G1492" s="41"/>
      <c r="H1492" s="66"/>
      <c r="I1492" s="125" t="s">
        <v>214</v>
      </c>
      <c r="J1492" s="452"/>
      <c r="K1492" s="453">
        <v>142949807</v>
      </c>
      <c r="L1492" s="454">
        <f>J1492+K1492</f>
        <v>142949807</v>
      </c>
      <c r="M1492" s="454"/>
      <c r="N1492" s="454"/>
      <c r="O1492" s="454"/>
      <c r="P1492" s="454"/>
      <c r="Q1492" s="454"/>
      <c r="R1492" s="454"/>
      <c r="S1492" s="217">
        <f t="shared" si="1722"/>
        <v>0</v>
      </c>
      <c r="T1492" s="217">
        <f t="shared" si="1723"/>
        <v>142949807</v>
      </c>
      <c r="U1492" s="454"/>
      <c r="V1492" s="454"/>
      <c r="W1492" s="454"/>
      <c r="X1492" s="454"/>
      <c r="Y1492" s="454"/>
      <c r="Z1492" s="217">
        <f>SUM(U1492:Y1492)</f>
        <v>0</v>
      </c>
      <c r="AA1492" s="217">
        <f>Z1492+T1492</f>
        <v>142949807</v>
      </c>
      <c r="AB1492" s="454"/>
      <c r="AC1492" s="454"/>
      <c r="AD1492" s="454"/>
      <c r="AE1492" s="454">
        <v>2082675</v>
      </c>
      <c r="AF1492" s="454"/>
      <c r="AG1492" s="217">
        <f t="shared" ref="AG1492" si="1726">SUM(AB1492:AF1492)</f>
        <v>2082675</v>
      </c>
      <c r="AH1492" s="217">
        <f t="shared" ref="AH1492" si="1727">AG1492+AA1492</f>
        <v>145032482</v>
      </c>
      <c r="AI1492" s="217">
        <v>145032482</v>
      </c>
      <c r="AJ1492" s="764">
        <f>AI1492/AH1492*100</f>
        <v>100</v>
      </c>
    </row>
    <row r="1493" spans="1:36" ht="14">
      <c r="A1493" s="40"/>
      <c r="B1493" s="40"/>
      <c r="C1493" s="124"/>
      <c r="D1493" s="124"/>
      <c r="E1493" s="124"/>
      <c r="F1493" s="41"/>
      <c r="G1493" s="41"/>
      <c r="H1493" s="66"/>
      <c r="I1493" s="41"/>
      <c r="J1493" s="126"/>
      <c r="K1493" s="204"/>
      <c r="L1493" s="454"/>
      <c r="M1493" s="454"/>
      <c r="N1493" s="454"/>
      <c r="O1493" s="454"/>
      <c r="P1493" s="454"/>
      <c r="Q1493" s="454"/>
      <c r="R1493" s="454"/>
      <c r="S1493" s="454"/>
      <c r="T1493" s="454"/>
      <c r="U1493" s="454"/>
      <c r="V1493" s="454"/>
      <c r="W1493" s="454"/>
      <c r="X1493" s="454"/>
      <c r="Y1493" s="454"/>
      <c r="Z1493" s="454"/>
      <c r="AA1493" s="454"/>
      <c r="AB1493" s="454"/>
      <c r="AC1493" s="454"/>
      <c r="AD1493" s="454"/>
      <c r="AE1493" s="454"/>
      <c r="AF1493" s="454"/>
      <c r="AG1493" s="454"/>
      <c r="AH1493" s="454"/>
      <c r="AI1493" s="454"/>
      <c r="AJ1493" s="769"/>
    </row>
    <row r="1494" spans="1:36" ht="14">
      <c r="A1494" s="40"/>
      <c r="B1494" s="40"/>
      <c r="C1494" s="124"/>
      <c r="D1494" s="124"/>
      <c r="E1494" s="124"/>
      <c r="F1494" s="64"/>
      <c r="G1494" s="64"/>
      <c r="H1494" s="65"/>
      <c r="I1494" s="64" t="s">
        <v>38</v>
      </c>
      <c r="J1494" s="333">
        <f>SUM(J1490:J1493)</f>
        <v>4065228</v>
      </c>
      <c r="K1494" s="457">
        <f>SUM(K1490:K1493)</f>
        <v>142949807</v>
      </c>
      <c r="L1494" s="458">
        <f>SUM(L1490:L1493)</f>
        <v>147015035</v>
      </c>
      <c r="M1494" s="458">
        <f t="shared" ref="M1494:T1494" si="1728">SUM(M1490:M1493)</f>
        <v>0</v>
      </c>
      <c r="N1494" s="458">
        <f t="shared" si="1728"/>
        <v>0</v>
      </c>
      <c r="O1494" s="458">
        <f t="shared" si="1728"/>
        <v>0</v>
      </c>
      <c r="P1494" s="458">
        <f t="shared" si="1728"/>
        <v>0</v>
      </c>
      <c r="Q1494" s="458">
        <f t="shared" si="1728"/>
        <v>0</v>
      </c>
      <c r="R1494" s="458">
        <f t="shared" si="1728"/>
        <v>0</v>
      </c>
      <c r="S1494" s="458">
        <f t="shared" si="1728"/>
        <v>0</v>
      </c>
      <c r="T1494" s="458">
        <f t="shared" si="1728"/>
        <v>147015035</v>
      </c>
      <c r="U1494" s="458"/>
      <c r="V1494" s="458"/>
      <c r="W1494" s="458"/>
      <c r="X1494" s="458"/>
      <c r="Y1494" s="458"/>
      <c r="Z1494" s="458">
        <f t="shared" ref="Z1494:AA1494" si="1729">SUM(Z1490:Z1493)</f>
        <v>0</v>
      </c>
      <c r="AA1494" s="458">
        <f t="shared" si="1729"/>
        <v>147015035</v>
      </c>
      <c r="AB1494" s="458"/>
      <c r="AC1494" s="458"/>
      <c r="AD1494" s="458"/>
      <c r="AE1494" s="458">
        <f t="shared" ref="AE1494:AI1494" si="1730">SUM(AE1490:AE1493)</f>
        <v>1327443</v>
      </c>
      <c r="AF1494" s="458"/>
      <c r="AG1494" s="458">
        <f t="shared" si="1730"/>
        <v>1327443</v>
      </c>
      <c r="AH1494" s="458">
        <f t="shared" si="1730"/>
        <v>148342478</v>
      </c>
      <c r="AI1494" s="458">
        <f t="shared" si="1730"/>
        <v>148192478</v>
      </c>
      <c r="AJ1494" s="776">
        <f>AI1494/AH1494*100</f>
        <v>99.898882638322917</v>
      </c>
    </row>
    <row r="1495" spans="1:36" ht="7" customHeight="1">
      <c r="A1495" s="40"/>
      <c r="B1495" s="40"/>
      <c r="C1495" s="124"/>
      <c r="D1495" s="124"/>
      <c r="E1495" s="124"/>
      <c r="F1495" s="41"/>
      <c r="G1495" s="41"/>
      <c r="H1495" s="66"/>
      <c r="I1495" s="41"/>
      <c r="J1495" s="126"/>
      <c r="K1495" s="204"/>
      <c r="L1495" s="205"/>
      <c r="M1495" s="205"/>
      <c r="N1495" s="205"/>
      <c r="O1495" s="205"/>
      <c r="P1495" s="205"/>
      <c r="Q1495" s="205"/>
      <c r="R1495" s="205"/>
      <c r="S1495" s="205"/>
      <c r="T1495" s="205"/>
      <c r="U1495" s="205"/>
      <c r="V1495" s="205"/>
      <c r="W1495" s="205"/>
      <c r="X1495" s="205"/>
      <c r="Y1495" s="205"/>
      <c r="Z1495" s="205"/>
      <c r="AA1495" s="205"/>
      <c r="AB1495" s="205"/>
      <c r="AC1495" s="205"/>
      <c r="AD1495" s="205"/>
      <c r="AE1495" s="205"/>
      <c r="AF1495" s="205"/>
      <c r="AG1495" s="205"/>
      <c r="AH1495" s="205"/>
      <c r="AI1495" s="205"/>
      <c r="AJ1495" s="747"/>
    </row>
    <row r="1496" spans="1:36" ht="29" customHeight="1">
      <c r="A1496" s="40"/>
      <c r="B1496" s="40">
        <v>3</v>
      </c>
      <c r="C1496" s="124"/>
      <c r="D1496" s="124"/>
      <c r="E1496" s="124"/>
      <c r="F1496" s="41"/>
      <c r="G1496" s="935" t="s">
        <v>390</v>
      </c>
      <c r="H1496" s="935"/>
      <c r="I1496" s="936"/>
      <c r="J1496" s="126"/>
      <c r="K1496" s="204"/>
      <c r="L1496" s="205"/>
      <c r="M1496" s="205"/>
      <c r="N1496" s="205"/>
      <c r="O1496" s="205"/>
      <c r="P1496" s="205"/>
      <c r="Q1496" s="205"/>
      <c r="R1496" s="205"/>
      <c r="S1496" s="205"/>
      <c r="T1496" s="205"/>
      <c r="U1496" s="205"/>
      <c r="V1496" s="205"/>
      <c r="W1496" s="205"/>
      <c r="X1496" s="205"/>
      <c r="Y1496" s="205"/>
      <c r="Z1496" s="205"/>
      <c r="AA1496" s="205"/>
      <c r="AB1496" s="205"/>
      <c r="AC1496" s="205"/>
      <c r="AD1496" s="205"/>
      <c r="AE1496" s="205"/>
      <c r="AF1496" s="205"/>
      <c r="AG1496" s="205"/>
      <c r="AH1496" s="205"/>
      <c r="AI1496" s="205"/>
      <c r="AJ1496" s="747"/>
    </row>
    <row r="1497" spans="1:36" ht="12.5" customHeight="1">
      <c r="A1497" s="40"/>
      <c r="B1497" s="40"/>
      <c r="C1497" s="124">
        <v>1</v>
      </c>
      <c r="D1497" s="124"/>
      <c r="E1497" s="124"/>
      <c r="F1497" s="41"/>
      <c r="G1497" s="41"/>
      <c r="H1497" s="66" t="s">
        <v>35</v>
      </c>
      <c r="I1497" s="41"/>
      <c r="J1497" s="126"/>
      <c r="K1497" s="204"/>
      <c r="L1497" s="205"/>
      <c r="M1497" s="205"/>
      <c r="N1497" s="205"/>
      <c r="O1497" s="205"/>
      <c r="P1497" s="205"/>
      <c r="Q1497" s="205"/>
      <c r="R1497" s="205"/>
      <c r="S1497" s="205"/>
      <c r="T1497" s="205"/>
      <c r="U1497" s="205"/>
      <c r="V1497" s="205"/>
      <c r="W1497" s="205"/>
      <c r="X1497" s="205"/>
      <c r="Y1497" s="205"/>
      <c r="Z1497" s="205"/>
      <c r="AA1497" s="205"/>
      <c r="AB1497" s="205"/>
      <c r="AC1497" s="205"/>
      <c r="AD1497" s="205"/>
      <c r="AE1497" s="205"/>
      <c r="AF1497" s="205"/>
      <c r="AG1497" s="205"/>
      <c r="AH1497" s="205"/>
      <c r="AI1497" s="205"/>
      <c r="AJ1497" s="747"/>
    </row>
    <row r="1498" spans="1:36" ht="12.5" customHeight="1">
      <c r="A1498" s="40"/>
      <c r="B1498" s="40"/>
      <c r="C1498" s="124"/>
      <c r="D1498" s="124">
        <v>3</v>
      </c>
      <c r="E1498" s="124" t="s">
        <v>199</v>
      </c>
      <c r="F1498" s="41"/>
      <c r="G1498" s="41"/>
      <c r="H1498" s="66"/>
      <c r="I1498" s="125" t="s">
        <v>116</v>
      </c>
      <c r="J1498" s="452">
        <v>14962232</v>
      </c>
      <c r="K1498" s="204"/>
      <c r="L1498" s="454">
        <f>J1498+K1498</f>
        <v>14962232</v>
      </c>
      <c r="M1498" s="454"/>
      <c r="N1498" s="454"/>
      <c r="O1498" s="454"/>
      <c r="P1498" s="454"/>
      <c r="Q1498" s="454"/>
      <c r="R1498" s="454"/>
      <c r="S1498" s="217">
        <f t="shared" ref="S1498:S1501" si="1731">SUM(M1498:R1498)</f>
        <v>0</v>
      </c>
      <c r="T1498" s="217">
        <f t="shared" ref="T1498:T1501" si="1732">S1498+L1498</f>
        <v>14962232</v>
      </c>
      <c r="U1498" s="454"/>
      <c r="V1498" s="454"/>
      <c r="W1498" s="454"/>
      <c r="X1498" s="454"/>
      <c r="Y1498" s="454"/>
      <c r="Z1498" s="217">
        <f>SUM(U1498:Y1498)</f>
        <v>0</v>
      </c>
      <c r="AA1498" s="217">
        <f>Z1498+T1498</f>
        <v>14962232</v>
      </c>
      <c r="AB1498" s="454"/>
      <c r="AC1498" s="454"/>
      <c r="AD1498" s="454">
        <v>-78661</v>
      </c>
      <c r="AE1498" s="454">
        <v>-6668200</v>
      </c>
      <c r="AF1498" s="454"/>
      <c r="AG1498" s="217">
        <f t="shared" ref="AG1498" si="1733">SUM(AB1498:AF1498)</f>
        <v>-6746861</v>
      </c>
      <c r="AH1498" s="217">
        <f t="shared" ref="AH1498" si="1734">AG1498+AA1498</f>
        <v>8215371</v>
      </c>
      <c r="AI1498" s="217">
        <v>585811</v>
      </c>
      <c r="AJ1498" s="764">
        <f>AI1498/AH1498*100</f>
        <v>7.1306700573838961</v>
      </c>
    </row>
    <row r="1499" spans="1:36" ht="12.5" customHeight="1">
      <c r="A1499" s="160"/>
      <c r="B1499" s="160"/>
      <c r="C1499" s="161"/>
      <c r="D1499" s="161">
        <v>5</v>
      </c>
      <c r="E1499" s="161" t="s">
        <v>199</v>
      </c>
      <c r="F1499" s="41"/>
      <c r="G1499" s="41"/>
      <c r="H1499" s="66"/>
      <c r="I1499" s="125" t="s">
        <v>185</v>
      </c>
      <c r="J1499" s="454"/>
      <c r="K1499" s="467"/>
      <c r="L1499" s="454"/>
      <c r="M1499" s="454"/>
      <c r="N1499" s="454"/>
      <c r="O1499" s="454"/>
      <c r="P1499" s="454"/>
      <c r="Q1499" s="454"/>
      <c r="R1499" s="454"/>
      <c r="S1499" s="217"/>
      <c r="T1499" s="217"/>
      <c r="U1499" s="454"/>
      <c r="V1499" s="454"/>
      <c r="W1499" s="454"/>
      <c r="X1499" s="454"/>
      <c r="Y1499" s="454"/>
      <c r="Z1499" s="217"/>
      <c r="AA1499" s="217"/>
      <c r="AB1499" s="454"/>
      <c r="AC1499" s="454"/>
      <c r="AD1499" s="454"/>
      <c r="AE1499" s="454">
        <v>10275869</v>
      </c>
      <c r="AF1499" s="454"/>
      <c r="AG1499" s="217">
        <f t="shared" ref="AG1499:AG1502" si="1735">SUM(AB1499:AF1499)</f>
        <v>10275869</v>
      </c>
      <c r="AH1499" s="217">
        <f t="shared" ref="AH1499:AH1502" si="1736">AG1499+AA1499</f>
        <v>10275869</v>
      </c>
      <c r="AI1499" s="217"/>
      <c r="AJ1499" s="764"/>
    </row>
    <row r="1500" spans="1:36" ht="12.5" customHeight="1">
      <c r="A1500" s="40"/>
      <c r="B1500" s="40"/>
      <c r="C1500" s="124">
        <v>2</v>
      </c>
      <c r="D1500" s="124"/>
      <c r="E1500" s="124"/>
      <c r="F1500" s="41"/>
      <c r="G1500" s="41"/>
      <c r="H1500" s="66" t="s">
        <v>211</v>
      </c>
      <c r="I1500" s="41"/>
      <c r="J1500" s="126"/>
      <c r="K1500" s="204"/>
      <c r="L1500" s="454"/>
      <c r="M1500" s="454"/>
      <c r="N1500" s="454"/>
      <c r="O1500" s="454"/>
      <c r="P1500" s="454"/>
      <c r="Q1500" s="454"/>
      <c r="R1500" s="454"/>
      <c r="S1500" s="217"/>
      <c r="T1500" s="217"/>
      <c r="U1500" s="454"/>
      <c r="V1500" s="454"/>
      <c r="W1500" s="454"/>
      <c r="X1500" s="454"/>
      <c r="Y1500" s="454"/>
      <c r="Z1500" s="217"/>
      <c r="AA1500" s="217"/>
      <c r="AB1500" s="454"/>
      <c r="AC1500" s="454"/>
      <c r="AD1500" s="454"/>
      <c r="AE1500" s="454"/>
      <c r="AF1500" s="454"/>
      <c r="AG1500" s="217"/>
      <c r="AH1500" s="217"/>
      <c r="AI1500" s="217"/>
      <c r="AJ1500" s="764"/>
    </row>
    <row r="1501" spans="1:36" ht="12.5" customHeight="1">
      <c r="A1501" s="40"/>
      <c r="B1501" s="40"/>
      <c r="C1501" s="124"/>
      <c r="D1501" s="124">
        <v>7</v>
      </c>
      <c r="E1501" s="124" t="s">
        <v>199</v>
      </c>
      <c r="F1501" s="41"/>
      <c r="G1501" s="41"/>
      <c r="H1501" s="66"/>
      <c r="I1501" s="125" t="s">
        <v>214</v>
      </c>
      <c r="J1501" s="452"/>
      <c r="K1501" s="453">
        <v>221539070</v>
      </c>
      <c r="L1501" s="454">
        <f>J1501+K1501</f>
        <v>221539070</v>
      </c>
      <c r="M1501" s="454"/>
      <c r="N1501" s="454"/>
      <c r="O1501" s="454"/>
      <c r="P1501" s="454"/>
      <c r="Q1501" s="454"/>
      <c r="R1501" s="454"/>
      <c r="S1501" s="217">
        <f t="shared" si="1731"/>
        <v>0</v>
      </c>
      <c r="T1501" s="217">
        <f t="shared" si="1732"/>
        <v>221539070</v>
      </c>
      <c r="U1501" s="454"/>
      <c r="V1501" s="454"/>
      <c r="W1501" s="454"/>
      <c r="X1501" s="454"/>
      <c r="Y1501" s="454"/>
      <c r="Z1501" s="217">
        <f>SUM(U1501:Y1501)</f>
        <v>0</v>
      </c>
      <c r="AA1501" s="217">
        <f>Z1501+T1501</f>
        <v>221539070</v>
      </c>
      <c r="AB1501" s="454"/>
      <c r="AC1501" s="454"/>
      <c r="AD1501" s="454">
        <v>-5116772</v>
      </c>
      <c r="AE1501" s="454">
        <v>-195182390</v>
      </c>
      <c r="AF1501" s="454"/>
      <c r="AG1501" s="217">
        <f t="shared" si="1735"/>
        <v>-200299162</v>
      </c>
      <c r="AH1501" s="217">
        <f t="shared" si="1736"/>
        <v>21239908</v>
      </c>
      <c r="AI1501" s="217">
        <v>18841597</v>
      </c>
      <c r="AJ1501" s="764">
        <f>AI1501/AH1501*100</f>
        <v>88.708468040445382</v>
      </c>
    </row>
    <row r="1502" spans="1:36" ht="12.5" customHeight="1">
      <c r="A1502" s="160"/>
      <c r="B1502" s="160"/>
      <c r="C1502" s="161"/>
      <c r="D1502" s="161">
        <v>8</v>
      </c>
      <c r="E1502" s="161" t="s">
        <v>199</v>
      </c>
      <c r="F1502" s="41"/>
      <c r="G1502" s="41"/>
      <c r="H1502" s="66"/>
      <c r="I1502" s="125" t="s">
        <v>212</v>
      </c>
      <c r="J1502" s="454"/>
      <c r="K1502" s="483"/>
      <c r="L1502" s="454"/>
      <c r="M1502" s="454"/>
      <c r="N1502" s="454"/>
      <c r="O1502" s="454"/>
      <c r="P1502" s="454"/>
      <c r="Q1502" s="454"/>
      <c r="R1502" s="454"/>
      <c r="S1502" s="217"/>
      <c r="T1502" s="217"/>
      <c r="U1502" s="454"/>
      <c r="V1502" s="454"/>
      <c r="W1502" s="454"/>
      <c r="X1502" s="454"/>
      <c r="Y1502" s="454"/>
      <c r="Z1502" s="217"/>
      <c r="AA1502" s="217"/>
      <c r="AB1502" s="454"/>
      <c r="AC1502" s="454"/>
      <c r="AD1502" s="454"/>
      <c r="AE1502" s="454">
        <v>199335290</v>
      </c>
      <c r="AF1502" s="454"/>
      <c r="AG1502" s="217">
        <f t="shared" si="1735"/>
        <v>199335290</v>
      </c>
      <c r="AH1502" s="217">
        <f t="shared" si="1736"/>
        <v>199335290</v>
      </c>
      <c r="AI1502" s="217"/>
      <c r="AJ1502" s="764"/>
    </row>
    <row r="1503" spans="1:36" ht="14">
      <c r="A1503" s="40"/>
      <c r="B1503" s="40"/>
      <c r="C1503" s="124"/>
      <c r="D1503" s="124"/>
      <c r="E1503" s="124"/>
      <c r="F1503" s="41"/>
      <c r="G1503" s="41"/>
      <c r="H1503" s="66"/>
      <c r="I1503" s="41"/>
      <c r="J1503" s="126"/>
      <c r="K1503" s="204"/>
      <c r="L1503" s="454"/>
      <c r="M1503" s="454"/>
      <c r="N1503" s="454"/>
      <c r="O1503" s="454"/>
      <c r="P1503" s="454"/>
      <c r="Q1503" s="454"/>
      <c r="R1503" s="454"/>
      <c r="S1503" s="454"/>
      <c r="T1503" s="454"/>
      <c r="U1503" s="454"/>
      <c r="V1503" s="454"/>
      <c r="W1503" s="454"/>
      <c r="X1503" s="454"/>
      <c r="Y1503" s="454"/>
      <c r="Z1503" s="454"/>
      <c r="AA1503" s="454"/>
      <c r="AB1503" s="454"/>
      <c r="AC1503" s="454"/>
      <c r="AD1503" s="454"/>
      <c r="AE1503" s="454"/>
      <c r="AF1503" s="454"/>
      <c r="AG1503" s="454"/>
      <c r="AH1503" s="454"/>
      <c r="AI1503" s="454"/>
      <c r="AJ1503" s="769"/>
    </row>
    <row r="1504" spans="1:36" ht="12.5" customHeight="1">
      <c r="A1504" s="40"/>
      <c r="B1504" s="40"/>
      <c r="C1504" s="124"/>
      <c r="D1504" s="124"/>
      <c r="E1504" s="124"/>
      <c r="F1504" s="64"/>
      <c r="G1504" s="64"/>
      <c r="H1504" s="65"/>
      <c r="I1504" s="64" t="s">
        <v>38</v>
      </c>
      <c r="J1504" s="333">
        <f>SUM(J1498:J1503)</f>
        <v>14962232</v>
      </c>
      <c r="K1504" s="457">
        <f>SUM(K1498:K1503)</f>
        <v>221539070</v>
      </c>
      <c r="L1504" s="458">
        <f>SUM(L1498:L1503)</f>
        <v>236501302</v>
      </c>
      <c r="M1504" s="458">
        <f t="shared" ref="M1504:T1504" si="1737">SUM(M1498:M1503)</f>
        <v>0</v>
      </c>
      <c r="N1504" s="458">
        <f t="shared" si="1737"/>
        <v>0</v>
      </c>
      <c r="O1504" s="458">
        <f t="shared" si="1737"/>
        <v>0</v>
      </c>
      <c r="P1504" s="458">
        <f t="shared" si="1737"/>
        <v>0</v>
      </c>
      <c r="Q1504" s="458">
        <f t="shared" si="1737"/>
        <v>0</v>
      </c>
      <c r="R1504" s="458">
        <f t="shared" si="1737"/>
        <v>0</v>
      </c>
      <c r="S1504" s="458">
        <f t="shared" si="1737"/>
        <v>0</v>
      </c>
      <c r="T1504" s="458">
        <f t="shared" si="1737"/>
        <v>236501302</v>
      </c>
      <c r="U1504" s="458"/>
      <c r="V1504" s="458"/>
      <c r="W1504" s="458"/>
      <c r="X1504" s="458"/>
      <c r="Y1504" s="458"/>
      <c r="Z1504" s="458">
        <f t="shared" ref="Z1504:AA1504" si="1738">SUM(Z1498:Z1503)</f>
        <v>0</v>
      </c>
      <c r="AA1504" s="458">
        <f t="shared" si="1738"/>
        <v>236501302</v>
      </c>
      <c r="AB1504" s="458"/>
      <c r="AC1504" s="458"/>
      <c r="AD1504" s="458">
        <f t="shared" ref="AD1504:AI1504" si="1739">SUM(AD1498:AD1503)</f>
        <v>-5195433</v>
      </c>
      <c r="AE1504" s="458">
        <f t="shared" si="1739"/>
        <v>7760569</v>
      </c>
      <c r="AF1504" s="458"/>
      <c r="AG1504" s="458">
        <f t="shared" si="1739"/>
        <v>2565136</v>
      </c>
      <c r="AH1504" s="458">
        <f t="shared" si="1739"/>
        <v>239066438</v>
      </c>
      <c r="AI1504" s="458">
        <f t="shared" si="1739"/>
        <v>19427408</v>
      </c>
      <c r="AJ1504" s="770">
        <f>AI1504/AH1504*100</f>
        <v>8.1263636010672471</v>
      </c>
    </row>
    <row r="1505" spans="1:36" ht="14">
      <c r="A1505" s="40"/>
      <c r="B1505" s="40"/>
      <c r="C1505" s="124"/>
      <c r="D1505" s="124"/>
      <c r="E1505" s="124"/>
      <c r="F1505" s="41"/>
      <c r="G1505" s="41"/>
      <c r="H1505" s="66"/>
      <c r="I1505" s="41"/>
      <c r="J1505" s="126"/>
      <c r="K1505" s="204"/>
      <c r="L1505" s="205"/>
      <c r="M1505" s="205"/>
      <c r="N1505" s="205"/>
      <c r="O1505" s="205"/>
      <c r="P1505" s="205"/>
      <c r="Q1505" s="205"/>
      <c r="R1505" s="205"/>
      <c r="S1505" s="205"/>
      <c r="T1505" s="205"/>
      <c r="U1505" s="205"/>
      <c r="V1505" s="205"/>
      <c r="W1505" s="205"/>
      <c r="X1505" s="205"/>
      <c r="Y1505" s="205"/>
      <c r="Z1505" s="205"/>
      <c r="AA1505" s="205"/>
      <c r="AB1505" s="205"/>
      <c r="AC1505" s="205"/>
      <c r="AD1505" s="205"/>
      <c r="AE1505" s="205"/>
      <c r="AF1505" s="205"/>
      <c r="AG1505" s="205"/>
      <c r="AH1505" s="205"/>
      <c r="AI1505" s="205"/>
      <c r="AJ1505" s="747"/>
    </row>
    <row r="1506" spans="1:36" ht="12.5" customHeight="1">
      <c r="A1506" s="40"/>
      <c r="B1506" s="40">
        <v>4</v>
      </c>
      <c r="C1506" s="124"/>
      <c r="D1506" s="124"/>
      <c r="E1506" s="124"/>
      <c r="F1506" s="41"/>
      <c r="G1506" s="41" t="s">
        <v>391</v>
      </c>
      <c r="H1506" s="66"/>
      <c r="I1506" s="41"/>
      <c r="J1506" s="126"/>
      <c r="K1506" s="204"/>
      <c r="L1506" s="205"/>
      <c r="M1506" s="205"/>
      <c r="N1506" s="205"/>
      <c r="O1506" s="205"/>
      <c r="P1506" s="205"/>
      <c r="Q1506" s="205"/>
      <c r="R1506" s="205"/>
      <c r="S1506" s="205"/>
      <c r="T1506" s="205"/>
      <c r="U1506" s="205"/>
      <c r="V1506" s="205"/>
      <c r="W1506" s="205"/>
      <c r="X1506" s="205"/>
      <c r="Y1506" s="205"/>
      <c r="Z1506" s="205"/>
      <c r="AA1506" s="205"/>
      <c r="AB1506" s="205"/>
      <c r="AC1506" s="205"/>
      <c r="AD1506" s="205"/>
      <c r="AE1506" s="205"/>
      <c r="AF1506" s="205"/>
      <c r="AG1506" s="205"/>
      <c r="AH1506" s="205"/>
      <c r="AI1506" s="205"/>
      <c r="AJ1506" s="747"/>
    </row>
    <row r="1507" spans="1:36" ht="12.5" customHeight="1">
      <c r="A1507" s="40"/>
      <c r="B1507" s="40"/>
      <c r="C1507" s="124">
        <v>1</v>
      </c>
      <c r="D1507" s="124"/>
      <c r="E1507" s="124"/>
      <c r="F1507" s="41"/>
      <c r="G1507" s="41"/>
      <c r="H1507" s="66" t="s">
        <v>35</v>
      </c>
      <c r="I1507" s="41"/>
      <c r="J1507" s="126"/>
      <c r="K1507" s="204"/>
      <c r="L1507" s="205"/>
      <c r="M1507" s="205"/>
      <c r="N1507" s="205"/>
      <c r="O1507" s="205"/>
      <c r="P1507" s="205"/>
      <c r="Q1507" s="205"/>
      <c r="R1507" s="205"/>
      <c r="S1507" s="205"/>
      <c r="T1507" s="205"/>
      <c r="U1507" s="205"/>
      <c r="V1507" s="205"/>
      <c r="W1507" s="205"/>
      <c r="X1507" s="205"/>
      <c r="Y1507" s="205"/>
      <c r="Z1507" s="205"/>
      <c r="AA1507" s="205"/>
      <c r="AB1507" s="205"/>
      <c r="AC1507" s="205"/>
      <c r="AD1507" s="205"/>
      <c r="AE1507" s="205"/>
      <c r="AF1507" s="205"/>
      <c r="AG1507" s="205"/>
      <c r="AH1507" s="205"/>
      <c r="AI1507" s="205"/>
      <c r="AJ1507" s="747"/>
    </row>
    <row r="1508" spans="1:36" ht="12.5" customHeight="1">
      <c r="A1508" s="40"/>
      <c r="B1508" s="40"/>
      <c r="C1508" s="124"/>
      <c r="D1508" s="124">
        <v>3</v>
      </c>
      <c r="E1508" s="124" t="s">
        <v>199</v>
      </c>
      <c r="F1508" s="41"/>
      <c r="G1508" s="41"/>
      <c r="H1508" s="66"/>
      <c r="I1508" s="125" t="s">
        <v>116</v>
      </c>
      <c r="J1508" s="452">
        <v>9311016</v>
      </c>
      <c r="K1508" s="204"/>
      <c r="L1508" s="454">
        <f>J1508+K1508</f>
        <v>9311016</v>
      </c>
      <c r="M1508" s="454"/>
      <c r="N1508" s="454"/>
      <c r="O1508" s="454"/>
      <c r="P1508" s="454"/>
      <c r="Q1508" s="454">
        <v>-3286623</v>
      </c>
      <c r="R1508" s="454"/>
      <c r="S1508" s="217">
        <f t="shared" ref="S1508:S1510" si="1740">SUM(M1508:R1508)</f>
        <v>-3286623</v>
      </c>
      <c r="T1508" s="217">
        <f t="shared" ref="T1508:T1510" si="1741">S1508+L1508</f>
        <v>6024393</v>
      </c>
      <c r="U1508" s="454"/>
      <c r="V1508" s="454"/>
      <c r="W1508" s="454"/>
      <c r="X1508" s="454">
        <v>-3287000</v>
      </c>
      <c r="Y1508" s="454"/>
      <c r="Z1508" s="217">
        <f>SUM(U1508:Y1508)</f>
        <v>-3287000</v>
      </c>
      <c r="AA1508" s="217">
        <f>Z1508+T1508</f>
        <v>2737393</v>
      </c>
      <c r="AB1508" s="454"/>
      <c r="AC1508" s="454"/>
      <c r="AD1508" s="454">
        <v>-51300</v>
      </c>
      <c r="AE1508" s="454">
        <v>-1322443</v>
      </c>
      <c r="AF1508" s="454"/>
      <c r="AG1508" s="217">
        <f t="shared" ref="AG1508" si="1742">SUM(AB1508:AF1508)</f>
        <v>-1373743</v>
      </c>
      <c r="AH1508" s="217">
        <f t="shared" ref="AH1508" si="1743">AG1508+AA1508</f>
        <v>1363650</v>
      </c>
      <c r="AI1508" s="217">
        <v>1263650</v>
      </c>
      <c r="AJ1508" s="764">
        <f>AI1508/AH1508*100</f>
        <v>92.666739999266682</v>
      </c>
    </row>
    <row r="1509" spans="1:36" ht="12.5" customHeight="1">
      <c r="A1509" s="40"/>
      <c r="B1509" s="40"/>
      <c r="C1509" s="124">
        <v>2</v>
      </c>
      <c r="D1509" s="124"/>
      <c r="E1509" s="124"/>
      <c r="F1509" s="41"/>
      <c r="G1509" s="41"/>
      <c r="H1509" s="66" t="s">
        <v>211</v>
      </c>
      <c r="I1509" s="41"/>
      <c r="J1509" s="126"/>
      <c r="K1509" s="204"/>
      <c r="L1509" s="454"/>
      <c r="M1509" s="454"/>
      <c r="N1509" s="454"/>
      <c r="O1509" s="454"/>
      <c r="P1509" s="454"/>
      <c r="Q1509" s="454"/>
      <c r="R1509" s="454"/>
      <c r="S1509" s="217"/>
      <c r="T1509" s="217"/>
      <c r="U1509" s="454"/>
      <c r="V1509" s="454"/>
      <c r="W1509" s="454"/>
      <c r="X1509" s="454"/>
      <c r="Y1509" s="454"/>
      <c r="Z1509" s="217"/>
      <c r="AA1509" s="217"/>
      <c r="AB1509" s="454"/>
      <c r="AC1509" s="454"/>
      <c r="AD1509" s="454"/>
      <c r="AE1509" s="454"/>
      <c r="AF1509" s="454"/>
      <c r="AG1509" s="217"/>
      <c r="AH1509" s="217"/>
      <c r="AI1509" s="217"/>
      <c r="AJ1509" s="764"/>
    </row>
    <row r="1510" spans="1:36" ht="12.5" customHeight="1">
      <c r="A1510" s="40"/>
      <c r="B1510" s="40"/>
      <c r="C1510" s="124"/>
      <c r="D1510" s="124">
        <v>7</v>
      </c>
      <c r="E1510" s="124" t="s">
        <v>199</v>
      </c>
      <c r="F1510" s="41"/>
      <c r="G1510" s="41"/>
      <c r="H1510" s="66"/>
      <c r="I1510" s="125" t="s">
        <v>214</v>
      </c>
      <c r="J1510" s="452"/>
      <c r="K1510" s="453">
        <v>58068165</v>
      </c>
      <c r="L1510" s="454">
        <f>J1510+K1510</f>
        <v>58068165</v>
      </c>
      <c r="M1510" s="454"/>
      <c r="N1510" s="454"/>
      <c r="O1510" s="454"/>
      <c r="P1510" s="454"/>
      <c r="Q1510" s="454"/>
      <c r="R1510" s="454"/>
      <c r="S1510" s="217">
        <f t="shared" si="1740"/>
        <v>0</v>
      </c>
      <c r="T1510" s="217">
        <f t="shared" si="1741"/>
        <v>58068165</v>
      </c>
      <c r="U1510" s="454"/>
      <c r="V1510" s="454"/>
      <c r="W1510" s="454"/>
      <c r="X1510" s="454">
        <v>-5630000</v>
      </c>
      <c r="Y1510" s="454"/>
      <c r="Z1510" s="217">
        <f>SUM(U1510:Y1510)</f>
        <v>-5630000</v>
      </c>
      <c r="AA1510" s="217">
        <f>Z1510+T1510</f>
        <v>52438165</v>
      </c>
      <c r="AB1510" s="454"/>
      <c r="AC1510" s="454"/>
      <c r="AD1510" s="454">
        <v>-2653690</v>
      </c>
      <c r="AE1510" s="454">
        <v>18310907</v>
      </c>
      <c r="AF1510" s="454"/>
      <c r="AG1510" s="217">
        <f t="shared" ref="AG1510" si="1744">SUM(AB1510:AF1510)</f>
        <v>15657217</v>
      </c>
      <c r="AH1510" s="217">
        <f t="shared" ref="AH1510" si="1745">AG1510+AA1510</f>
        <v>68095382</v>
      </c>
      <c r="AI1510" s="217">
        <v>68095382</v>
      </c>
      <c r="AJ1510" s="764">
        <f>AI1510/AH1510*100</f>
        <v>100</v>
      </c>
    </row>
    <row r="1511" spans="1:36" ht="6.5" customHeight="1">
      <c r="A1511" s="40"/>
      <c r="B1511" s="40"/>
      <c r="C1511" s="124"/>
      <c r="D1511" s="124"/>
      <c r="E1511" s="124"/>
      <c r="F1511" s="41"/>
      <c r="G1511" s="41"/>
      <c r="H1511" s="66"/>
      <c r="I1511" s="41"/>
      <c r="J1511" s="126"/>
      <c r="K1511" s="204"/>
      <c r="L1511" s="454"/>
      <c r="M1511" s="454"/>
      <c r="N1511" s="454"/>
      <c r="O1511" s="454"/>
      <c r="P1511" s="454"/>
      <c r="Q1511" s="454"/>
      <c r="R1511" s="454"/>
      <c r="S1511" s="454"/>
      <c r="T1511" s="454"/>
      <c r="U1511" s="454"/>
      <c r="V1511" s="454"/>
      <c r="W1511" s="454"/>
      <c r="X1511" s="454"/>
      <c r="Y1511" s="454"/>
      <c r="Z1511" s="454"/>
      <c r="AA1511" s="454"/>
      <c r="AB1511" s="454"/>
      <c r="AC1511" s="454"/>
      <c r="AD1511" s="454"/>
      <c r="AE1511" s="454"/>
      <c r="AF1511" s="454"/>
      <c r="AG1511" s="454"/>
      <c r="AH1511" s="454"/>
      <c r="AI1511" s="454"/>
      <c r="AJ1511" s="769"/>
    </row>
    <row r="1512" spans="1:36" ht="12.5" customHeight="1">
      <c r="A1512" s="40"/>
      <c r="B1512" s="40"/>
      <c r="C1512" s="124"/>
      <c r="D1512" s="124"/>
      <c r="E1512" s="124"/>
      <c r="F1512" s="64"/>
      <c r="G1512" s="64"/>
      <c r="H1512" s="65"/>
      <c r="I1512" s="64" t="s">
        <v>38</v>
      </c>
      <c r="J1512" s="333">
        <f>SUM(J1508:J1511)</f>
        <v>9311016</v>
      </c>
      <c r="K1512" s="457">
        <f>SUM(K1508:K1511)</f>
        <v>58068165</v>
      </c>
      <c r="L1512" s="458">
        <f>SUM(L1508:L1511)</f>
        <v>67379181</v>
      </c>
      <c r="M1512" s="458">
        <f t="shared" ref="M1512:T1512" si="1746">SUM(M1508:M1511)</f>
        <v>0</v>
      </c>
      <c r="N1512" s="458">
        <f t="shared" si="1746"/>
        <v>0</v>
      </c>
      <c r="O1512" s="458">
        <f t="shared" si="1746"/>
        <v>0</v>
      </c>
      <c r="P1512" s="458">
        <f t="shared" si="1746"/>
        <v>0</v>
      </c>
      <c r="Q1512" s="458">
        <f t="shared" si="1746"/>
        <v>-3286623</v>
      </c>
      <c r="R1512" s="458">
        <f t="shared" si="1746"/>
        <v>0</v>
      </c>
      <c r="S1512" s="458">
        <f t="shared" si="1746"/>
        <v>-3286623</v>
      </c>
      <c r="T1512" s="458">
        <f t="shared" si="1746"/>
        <v>64092558</v>
      </c>
      <c r="U1512" s="458"/>
      <c r="V1512" s="458"/>
      <c r="W1512" s="458"/>
      <c r="X1512" s="458">
        <f t="shared" ref="X1512:AA1512" si="1747">SUM(X1508:X1511)</f>
        <v>-8917000</v>
      </c>
      <c r="Y1512" s="458"/>
      <c r="Z1512" s="458">
        <f t="shared" si="1747"/>
        <v>-8917000</v>
      </c>
      <c r="AA1512" s="458">
        <f t="shared" si="1747"/>
        <v>55175558</v>
      </c>
      <c r="AB1512" s="458"/>
      <c r="AC1512" s="458"/>
      <c r="AD1512" s="458">
        <f t="shared" ref="AD1512:AE1512" si="1748">SUM(AD1508:AD1511)</f>
        <v>-2704990</v>
      </c>
      <c r="AE1512" s="458">
        <f t="shared" si="1748"/>
        <v>16988464</v>
      </c>
      <c r="AF1512" s="458"/>
      <c r="AG1512" s="458">
        <f t="shared" ref="AG1512:AI1512" si="1749">SUM(AG1508:AG1511)</f>
        <v>14283474</v>
      </c>
      <c r="AH1512" s="458">
        <f t="shared" si="1749"/>
        <v>69459032</v>
      </c>
      <c r="AI1512" s="458">
        <f t="shared" si="1749"/>
        <v>69359032</v>
      </c>
      <c r="AJ1512" s="770">
        <f>AI1512/AH1512*100</f>
        <v>99.856030242402454</v>
      </c>
    </row>
    <row r="1513" spans="1:36" ht="14">
      <c r="A1513" s="40"/>
      <c r="B1513" s="40"/>
      <c r="C1513" s="124"/>
      <c r="D1513" s="124"/>
      <c r="E1513" s="124"/>
      <c r="F1513" s="41"/>
      <c r="G1513" s="41"/>
      <c r="H1513" s="66"/>
      <c r="I1513" s="41"/>
      <c r="J1513" s="126"/>
      <c r="K1513" s="204"/>
      <c r="L1513" s="205"/>
      <c r="M1513" s="205"/>
      <c r="N1513" s="205"/>
      <c r="O1513" s="205"/>
      <c r="P1513" s="205"/>
      <c r="Q1513" s="205"/>
      <c r="R1513" s="205"/>
      <c r="S1513" s="205"/>
      <c r="T1513" s="205"/>
      <c r="U1513" s="205"/>
      <c r="V1513" s="205"/>
      <c r="W1513" s="205"/>
      <c r="X1513" s="205"/>
      <c r="Y1513" s="205"/>
      <c r="Z1513" s="205"/>
      <c r="AA1513" s="205"/>
      <c r="AB1513" s="205"/>
      <c r="AC1513" s="205"/>
      <c r="AD1513" s="205"/>
      <c r="AE1513" s="205"/>
      <c r="AF1513" s="205"/>
      <c r="AG1513" s="205"/>
      <c r="AH1513" s="205"/>
      <c r="AI1513" s="205"/>
      <c r="AJ1513" s="747"/>
    </row>
    <row r="1514" spans="1:36" ht="14">
      <c r="A1514" s="40"/>
      <c r="B1514" s="40">
        <v>5</v>
      </c>
      <c r="C1514" s="124"/>
      <c r="D1514" s="124"/>
      <c r="E1514" s="124"/>
      <c r="F1514" s="41"/>
      <c r="G1514" s="41" t="s">
        <v>392</v>
      </c>
      <c r="H1514" s="66"/>
      <c r="I1514" s="41"/>
      <c r="J1514" s="126"/>
      <c r="K1514" s="204"/>
      <c r="L1514" s="205"/>
      <c r="M1514" s="205"/>
      <c r="N1514" s="205"/>
      <c r="O1514" s="205"/>
      <c r="P1514" s="205"/>
      <c r="Q1514" s="205"/>
      <c r="R1514" s="205"/>
      <c r="S1514" s="205"/>
      <c r="T1514" s="205"/>
      <c r="U1514" s="205"/>
      <c r="V1514" s="205"/>
      <c r="W1514" s="205"/>
      <c r="X1514" s="205"/>
      <c r="Y1514" s="205"/>
      <c r="Z1514" s="205"/>
      <c r="AA1514" s="205"/>
      <c r="AB1514" s="205"/>
      <c r="AC1514" s="205"/>
      <c r="AD1514" s="205"/>
      <c r="AE1514" s="205"/>
      <c r="AF1514" s="205"/>
      <c r="AG1514" s="205"/>
      <c r="AH1514" s="205"/>
      <c r="AI1514" s="205"/>
      <c r="AJ1514" s="747"/>
    </row>
    <row r="1515" spans="1:36" ht="14">
      <c r="A1515" s="40"/>
      <c r="B1515" s="40"/>
      <c r="C1515" s="124">
        <v>1</v>
      </c>
      <c r="D1515" s="124"/>
      <c r="E1515" s="124"/>
      <c r="F1515" s="41"/>
      <c r="G1515" s="41"/>
      <c r="H1515" s="66" t="s">
        <v>35</v>
      </c>
      <c r="I1515" s="41"/>
      <c r="J1515" s="126"/>
      <c r="K1515" s="204"/>
      <c r="L1515" s="205"/>
      <c r="M1515" s="205"/>
      <c r="N1515" s="205"/>
      <c r="O1515" s="205"/>
      <c r="P1515" s="205"/>
      <c r="Q1515" s="205"/>
      <c r="R1515" s="205"/>
      <c r="S1515" s="205"/>
      <c r="T1515" s="205"/>
      <c r="U1515" s="205"/>
      <c r="V1515" s="205"/>
      <c r="W1515" s="205"/>
      <c r="X1515" s="205"/>
      <c r="Y1515" s="205"/>
      <c r="Z1515" s="205"/>
      <c r="AA1515" s="205"/>
      <c r="AB1515" s="205"/>
      <c r="AC1515" s="205"/>
      <c r="AD1515" s="205"/>
      <c r="AE1515" s="205"/>
      <c r="AF1515" s="205"/>
      <c r="AG1515" s="205"/>
      <c r="AH1515" s="205"/>
      <c r="AI1515" s="205"/>
      <c r="AJ1515" s="747"/>
    </row>
    <row r="1516" spans="1:36" ht="14">
      <c r="A1516" s="40"/>
      <c r="B1516" s="40"/>
      <c r="C1516" s="124"/>
      <c r="D1516" s="124">
        <v>3</v>
      </c>
      <c r="E1516" s="124" t="s">
        <v>199</v>
      </c>
      <c r="F1516" s="41"/>
      <c r="G1516" s="41"/>
      <c r="H1516" s="66"/>
      <c r="I1516" s="125" t="s">
        <v>116</v>
      </c>
      <c r="J1516" s="452">
        <v>3765209</v>
      </c>
      <c r="K1516" s="204"/>
      <c r="L1516" s="454">
        <f>J1516+K1516</f>
        <v>3765209</v>
      </c>
      <c r="M1516" s="454"/>
      <c r="N1516" s="454"/>
      <c r="O1516" s="454"/>
      <c r="P1516" s="454"/>
      <c r="Q1516" s="454"/>
      <c r="R1516" s="454"/>
      <c r="S1516" s="217">
        <f t="shared" ref="S1516:S1518" si="1750">SUM(M1516:R1516)</f>
        <v>0</v>
      </c>
      <c r="T1516" s="217">
        <f t="shared" ref="T1516:T1518" si="1751">S1516+L1516</f>
        <v>3765209</v>
      </c>
      <c r="U1516" s="454"/>
      <c r="V1516" s="454"/>
      <c r="W1516" s="454"/>
      <c r="X1516" s="454"/>
      <c r="Y1516" s="454"/>
      <c r="Z1516" s="217">
        <f>SUM(U1516:Y1516)</f>
        <v>0</v>
      </c>
      <c r="AA1516" s="217">
        <f>Z1516+T1516</f>
        <v>3765209</v>
      </c>
      <c r="AB1516" s="454"/>
      <c r="AC1516" s="454"/>
      <c r="AD1516" s="454">
        <v>-38268</v>
      </c>
      <c r="AE1516" s="454">
        <v>681271</v>
      </c>
      <c r="AF1516" s="454"/>
      <c r="AG1516" s="217">
        <f t="shared" ref="AG1516" si="1752">SUM(AB1516:AF1516)</f>
        <v>643003</v>
      </c>
      <c r="AH1516" s="217">
        <f t="shared" ref="AH1516" si="1753">AG1516+AA1516</f>
        <v>4408212</v>
      </c>
      <c r="AI1516" s="217">
        <v>2055799</v>
      </c>
      <c r="AJ1516" s="764">
        <f>AI1516/AH1516*100</f>
        <v>46.635665435328427</v>
      </c>
    </row>
    <row r="1517" spans="1:36" ht="14">
      <c r="A1517" s="40"/>
      <c r="B1517" s="40"/>
      <c r="C1517" s="124">
        <v>2</v>
      </c>
      <c r="D1517" s="124"/>
      <c r="E1517" s="124"/>
      <c r="F1517" s="41"/>
      <c r="G1517" s="41"/>
      <c r="H1517" s="66" t="s">
        <v>211</v>
      </c>
      <c r="I1517" s="41"/>
      <c r="J1517" s="126"/>
      <c r="K1517" s="204"/>
      <c r="L1517" s="454"/>
      <c r="M1517" s="454"/>
      <c r="N1517" s="454"/>
      <c r="O1517" s="454"/>
      <c r="P1517" s="454"/>
      <c r="Q1517" s="454"/>
      <c r="R1517" s="454"/>
      <c r="S1517" s="217"/>
      <c r="T1517" s="217"/>
      <c r="U1517" s="454"/>
      <c r="V1517" s="454"/>
      <c r="W1517" s="454"/>
      <c r="X1517" s="454"/>
      <c r="Y1517" s="454"/>
      <c r="Z1517" s="217"/>
      <c r="AA1517" s="217"/>
      <c r="AB1517" s="454"/>
      <c r="AC1517" s="454"/>
      <c r="AD1517" s="454"/>
      <c r="AE1517" s="454"/>
      <c r="AF1517" s="454"/>
      <c r="AG1517" s="217"/>
      <c r="AH1517" s="217"/>
      <c r="AI1517" s="217"/>
      <c r="AJ1517" s="764"/>
    </row>
    <row r="1518" spans="1:36" ht="14">
      <c r="A1518" s="40"/>
      <c r="B1518" s="40"/>
      <c r="C1518" s="124"/>
      <c r="D1518" s="124">
        <v>7</v>
      </c>
      <c r="E1518" s="124" t="s">
        <v>199</v>
      </c>
      <c r="F1518" s="41"/>
      <c r="G1518" s="41"/>
      <c r="H1518" s="66"/>
      <c r="I1518" s="125" t="s">
        <v>214</v>
      </c>
      <c r="J1518" s="452"/>
      <c r="K1518" s="453">
        <v>151083090</v>
      </c>
      <c r="L1518" s="454">
        <f>J1518+K1518</f>
        <v>151083090</v>
      </c>
      <c r="M1518" s="454"/>
      <c r="N1518" s="454"/>
      <c r="O1518" s="454"/>
      <c r="P1518" s="454"/>
      <c r="Q1518" s="454"/>
      <c r="R1518" s="454"/>
      <c r="S1518" s="217">
        <f t="shared" si="1750"/>
        <v>0</v>
      </c>
      <c r="T1518" s="217">
        <f t="shared" si="1751"/>
        <v>151083090</v>
      </c>
      <c r="U1518" s="454"/>
      <c r="V1518" s="454"/>
      <c r="W1518" s="454"/>
      <c r="X1518" s="454"/>
      <c r="Y1518" s="454"/>
      <c r="Z1518" s="217">
        <f>SUM(U1518:Y1518)</f>
        <v>0</v>
      </c>
      <c r="AA1518" s="217">
        <f>Z1518+T1518</f>
        <v>151083090</v>
      </c>
      <c r="AB1518" s="454"/>
      <c r="AC1518" s="454"/>
      <c r="AD1518" s="454">
        <v>-8415368</v>
      </c>
      <c r="AE1518" s="454"/>
      <c r="AF1518" s="454"/>
      <c r="AG1518" s="217">
        <f t="shared" ref="AG1518" si="1754">SUM(AB1518:AF1518)</f>
        <v>-8415368</v>
      </c>
      <c r="AH1518" s="217">
        <f t="shared" ref="AH1518" si="1755">AG1518+AA1518</f>
        <v>142667722</v>
      </c>
      <c r="AI1518" s="217"/>
      <c r="AJ1518" s="764"/>
    </row>
    <row r="1519" spans="1:36" ht="14" customHeight="1">
      <c r="A1519" s="40"/>
      <c r="B1519" s="40"/>
      <c r="C1519" s="124"/>
      <c r="D1519" s="124"/>
      <c r="E1519" s="124"/>
      <c r="F1519" s="41"/>
      <c r="G1519" s="41"/>
      <c r="H1519" s="66"/>
      <c r="I1519" s="41"/>
      <c r="J1519" s="126"/>
      <c r="K1519" s="204"/>
      <c r="L1519" s="454"/>
      <c r="M1519" s="454"/>
      <c r="N1519" s="454"/>
      <c r="O1519" s="454"/>
      <c r="P1519" s="454"/>
      <c r="Q1519" s="454"/>
      <c r="R1519" s="454"/>
      <c r="S1519" s="454"/>
      <c r="T1519" s="454"/>
      <c r="U1519" s="454"/>
      <c r="V1519" s="454"/>
      <c r="W1519" s="454"/>
      <c r="X1519" s="454"/>
      <c r="Y1519" s="454"/>
      <c r="Z1519" s="454"/>
      <c r="AA1519" s="454"/>
      <c r="AB1519" s="454"/>
      <c r="AC1519" s="454"/>
      <c r="AD1519" s="454"/>
      <c r="AE1519" s="454"/>
      <c r="AF1519" s="454"/>
      <c r="AG1519" s="454"/>
      <c r="AH1519" s="454"/>
      <c r="AI1519" s="454"/>
      <c r="AJ1519" s="769"/>
    </row>
    <row r="1520" spans="1:36" ht="14" customHeight="1">
      <c r="A1520" s="40"/>
      <c r="B1520" s="40"/>
      <c r="C1520" s="124"/>
      <c r="D1520" s="124"/>
      <c r="E1520" s="124"/>
      <c r="F1520" s="64"/>
      <c r="G1520" s="64"/>
      <c r="H1520" s="65"/>
      <c r="I1520" s="64" t="s">
        <v>38</v>
      </c>
      <c r="J1520" s="333">
        <f>SUM(J1516:J1519)</f>
        <v>3765209</v>
      </c>
      <c r="K1520" s="457">
        <f>SUM(K1516:K1519)</f>
        <v>151083090</v>
      </c>
      <c r="L1520" s="458">
        <f>SUM(L1516:L1519)</f>
        <v>154848299</v>
      </c>
      <c r="M1520" s="458">
        <f t="shared" ref="M1520:T1520" si="1756">SUM(M1516:M1519)</f>
        <v>0</v>
      </c>
      <c r="N1520" s="458">
        <f t="shared" si="1756"/>
        <v>0</v>
      </c>
      <c r="O1520" s="458">
        <f t="shared" si="1756"/>
        <v>0</v>
      </c>
      <c r="P1520" s="458">
        <f t="shared" si="1756"/>
        <v>0</v>
      </c>
      <c r="Q1520" s="458">
        <f t="shared" si="1756"/>
        <v>0</v>
      </c>
      <c r="R1520" s="458">
        <f t="shared" si="1756"/>
        <v>0</v>
      </c>
      <c r="S1520" s="458">
        <f t="shared" si="1756"/>
        <v>0</v>
      </c>
      <c r="T1520" s="458">
        <f t="shared" si="1756"/>
        <v>154848299</v>
      </c>
      <c r="U1520" s="458"/>
      <c r="V1520" s="458"/>
      <c r="W1520" s="458"/>
      <c r="X1520" s="458"/>
      <c r="Y1520" s="458"/>
      <c r="Z1520" s="458">
        <f t="shared" ref="Z1520:AA1520" si="1757">SUM(Z1516:Z1519)</f>
        <v>0</v>
      </c>
      <c r="AA1520" s="458">
        <f t="shared" si="1757"/>
        <v>154848299</v>
      </c>
      <c r="AB1520" s="458"/>
      <c r="AC1520" s="458"/>
      <c r="AD1520" s="458">
        <f t="shared" ref="AD1520:AE1520" si="1758">SUM(AD1516:AD1519)</f>
        <v>-8453636</v>
      </c>
      <c r="AE1520" s="458">
        <f t="shared" si="1758"/>
        <v>681271</v>
      </c>
      <c r="AF1520" s="458"/>
      <c r="AG1520" s="458">
        <f t="shared" ref="AG1520:AI1520" si="1759">SUM(AG1516:AG1519)</f>
        <v>-7772365</v>
      </c>
      <c r="AH1520" s="458">
        <f t="shared" si="1759"/>
        <v>147075934</v>
      </c>
      <c r="AI1520" s="458">
        <f t="shared" si="1759"/>
        <v>2055799</v>
      </c>
      <c r="AJ1520" s="770">
        <f>AI1520/AH1520*100</f>
        <v>1.3977806865397842</v>
      </c>
    </row>
    <row r="1521" spans="1:36" ht="12.5" customHeight="1">
      <c r="A1521" s="40"/>
      <c r="B1521" s="40"/>
      <c r="C1521" s="124"/>
      <c r="D1521" s="124"/>
      <c r="E1521" s="124"/>
      <c r="F1521" s="41"/>
      <c r="G1521" s="41"/>
      <c r="H1521" s="66"/>
      <c r="I1521" s="41"/>
      <c r="J1521" s="126"/>
      <c r="K1521" s="204"/>
      <c r="L1521" s="205"/>
      <c r="M1521" s="205"/>
      <c r="N1521" s="205"/>
      <c r="O1521" s="205"/>
      <c r="P1521" s="205"/>
      <c r="Q1521" s="205"/>
      <c r="R1521" s="205"/>
      <c r="S1521" s="205"/>
      <c r="T1521" s="205"/>
      <c r="U1521" s="205"/>
      <c r="V1521" s="205"/>
      <c r="W1521" s="205"/>
      <c r="X1521" s="205"/>
      <c r="Y1521" s="205"/>
      <c r="Z1521" s="205"/>
      <c r="AA1521" s="205"/>
      <c r="AB1521" s="205"/>
      <c r="AC1521" s="205"/>
      <c r="AD1521" s="205"/>
      <c r="AE1521" s="205"/>
      <c r="AF1521" s="205"/>
      <c r="AG1521" s="205"/>
      <c r="AH1521" s="205"/>
      <c r="AI1521" s="205"/>
      <c r="AJ1521" s="747"/>
    </row>
    <row r="1522" spans="1:36" ht="12.5" customHeight="1">
      <c r="A1522" s="40"/>
      <c r="B1522" s="40">
        <v>6</v>
      </c>
      <c r="C1522" s="124"/>
      <c r="D1522" s="124"/>
      <c r="E1522" s="124"/>
      <c r="F1522" s="41"/>
      <c r="G1522" s="41" t="s">
        <v>393</v>
      </c>
      <c r="H1522" s="66"/>
      <c r="I1522" s="41"/>
      <c r="J1522" s="126"/>
      <c r="K1522" s="204"/>
      <c r="L1522" s="205"/>
      <c r="M1522" s="205"/>
      <c r="N1522" s="205"/>
      <c r="O1522" s="205"/>
      <c r="P1522" s="205"/>
      <c r="Q1522" s="205"/>
      <c r="R1522" s="205"/>
      <c r="S1522" s="205"/>
      <c r="T1522" s="205"/>
      <c r="U1522" s="205"/>
      <c r="V1522" s="205"/>
      <c r="W1522" s="205"/>
      <c r="X1522" s="205"/>
      <c r="Y1522" s="205"/>
      <c r="Z1522" s="205"/>
      <c r="AA1522" s="205"/>
      <c r="AB1522" s="205"/>
      <c r="AC1522" s="205"/>
      <c r="AD1522" s="205"/>
      <c r="AE1522" s="205"/>
      <c r="AF1522" s="205"/>
      <c r="AG1522" s="205"/>
      <c r="AH1522" s="205"/>
      <c r="AI1522" s="205"/>
      <c r="AJ1522" s="747"/>
    </row>
    <row r="1523" spans="1:36" ht="12.5" customHeight="1">
      <c r="A1523" s="40"/>
      <c r="B1523" s="40"/>
      <c r="C1523" s="124">
        <v>1</v>
      </c>
      <c r="D1523" s="124"/>
      <c r="E1523" s="124"/>
      <c r="F1523" s="41"/>
      <c r="G1523" s="41"/>
      <c r="H1523" s="66" t="s">
        <v>35</v>
      </c>
      <c r="I1523" s="41"/>
      <c r="J1523" s="126"/>
      <c r="K1523" s="204"/>
      <c r="L1523" s="205"/>
      <c r="M1523" s="205"/>
      <c r="N1523" s="205"/>
      <c r="O1523" s="205"/>
      <c r="P1523" s="205"/>
      <c r="Q1523" s="205"/>
      <c r="R1523" s="205"/>
      <c r="S1523" s="205"/>
      <c r="T1523" s="205"/>
      <c r="U1523" s="205"/>
      <c r="V1523" s="205"/>
      <c r="W1523" s="205"/>
      <c r="X1523" s="205"/>
      <c r="Y1523" s="205"/>
      <c r="Z1523" s="205"/>
      <c r="AA1523" s="205"/>
      <c r="AB1523" s="205"/>
      <c r="AC1523" s="205"/>
      <c r="AD1523" s="205"/>
      <c r="AE1523" s="205"/>
      <c r="AF1523" s="205"/>
      <c r="AG1523" s="205"/>
      <c r="AH1523" s="205"/>
      <c r="AI1523" s="205"/>
      <c r="AJ1523" s="747"/>
    </row>
    <row r="1524" spans="1:36" ht="12.5" customHeight="1">
      <c r="A1524" s="40"/>
      <c r="B1524" s="40"/>
      <c r="C1524" s="124"/>
      <c r="D1524" s="124">
        <v>3</v>
      </c>
      <c r="E1524" s="124" t="s">
        <v>199</v>
      </c>
      <c r="F1524" s="41"/>
      <c r="G1524" s="41"/>
      <c r="H1524" s="66"/>
      <c r="I1524" s="125" t="s">
        <v>116</v>
      </c>
      <c r="J1524" s="452">
        <v>458178</v>
      </c>
      <c r="K1524" s="204"/>
      <c r="L1524" s="454">
        <f>J1524+K1524</f>
        <v>458178</v>
      </c>
      <c r="M1524" s="454"/>
      <c r="N1524" s="454"/>
      <c r="O1524" s="454"/>
      <c r="P1524" s="454"/>
      <c r="Q1524" s="454"/>
      <c r="R1524" s="454"/>
      <c r="S1524" s="217">
        <f t="shared" ref="S1524:S1526" si="1760">SUM(M1524:R1524)</f>
        <v>0</v>
      </c>
      <c r="T1524" s="217">
        <f t="shared" ref="T1524:T1526" si="1761">S1524+L1524</f>
        <v>458178</v>
      </c>
      <c r="U1524" s="454"/>
      <c r="V1524" s="454"/>
      <c r="W1524" s="454"/>
      <c r="X1524" s="454"/>
      <c r="Y1524" s="454"/>
      <c r="Z1524" s="217">
        <f>SUM(U1524:Y1524)</f>
        <v>0</v>
      </c>
      <c r="AA1524" s="217">
        <f>Z1524+T1524</f>
        <v>458178</v>
      </c>
      <c r="AB1524" s="454"/>
      <c r="AC1524" s="454"/>
      <c r="AD1524" s="454"/>
      <c r="AE1524" s="454">
        <v>-169926</v>
      </c>
      <c r="AF1524" s="454"/>
      <c r="AG1524" s="217">
        <f t="shared" ref="AG1524" si="1762">SUM(AB1524:AF1524)</f>
        <v>-169926</v>
      </c>
      <c r="AH1524" s="217">
        <f t="shared" ref="AH1524" si="1763">AG1524+AA1524</f>
        <v>288252</v>
      </c>
      <c r="AI1524" s="217">
        <v>213252</v>
      </c>
      <c r="AJ1524" s="764">
        <f>AI1524/AH1524*100</f>
        <v>73.981099870946252</v>
      </c>
    </row>
    <row r="1525" spans="1:36" ht="12.5" customHeight="1">
      <c r="A1525" s="40"/>
      <c r="B1525" s="40"/>
      <c r="C1525" s="124">
        <v>2</v>
      </c>
      <c r="D1525" s="124"/>
      <c r="E1525" s="124"/>
      <c r="F1525" s="41"/>
      <c r="G1525" s="41"/>
      <c r="H1525" s="66" t="s">
        <v>211</v>
      </c>
      <c r="I1525" s="41"/>
      <c r="J1525" s="126"/>
      <c r="K1525" s="204"/>
      <c r="L1525" s="454"/>
      <c r="M1525" s="454"/>
      <c r="N1525" s="454"/>
      <c r="O1525" s="454"/>
      <c r="P1525" s="454"/>
      <c r="Q1525" s="454"/>
      <c r="R1525" s="454"/>
      <c r="S1525" s="217"/>
      <c r="T1525" s="217"/>
      <c r="U1525" s="454"/>
      <c r="V1525" s="454"/>
      <c r="W1525" s="454"/>
      <c r="X1525" s="454"/>
      <c r="Y1525" s="454"/>
      <c r="Z1525" s="217"/>
      <c r="AA1525" s="217"/>
      <c r="AB1525" s="454"/>
      <c r="AC1525" s="454"/>
      <c r="AD1525" s="454"/>
      <c r="AE1525" s="454"/>
      <c r="AF1525" s="454"/>
      <c r="AG1525" s="217"/>
      <c r="AH1525" s="217"/>
      <c r="AI1525" s="217"/>
      <c r="AJ1525" s="764"/>
    </row>
    <row r="1526" spans="1:36" ht="12.5" customHeight="1">
      <c r="A1526" s="40"/>
      <c r="B1526" s="40"/>
      <c r="C1526" s="124"/>
      <c r="D1526" s="124">
        <v>7</v>
      </c>
      <c r="E1526" s="124" t="s">
        <v>199</v>
      </c>
      <c r="F1526" s="41"/>
      <c r="G1526" s="41"/>
      <c r="H1526" s="66"/>
      <c r="I1526" s="125" t="s">
        <v>214</v>
      </c>
      <c r="J1526" s="452"/>
      <c r="K1526" s="453">
        <v>15602524</v>
      </c>
      <c r="L1526" s="454">
        <f>J1526+K1526</f>
        <v>15602524</v>
      </c>
      <c r="M1526" s="454"/>
      <c r="N1526" s="454"/>
      <c r="O1526" s="454"/>
      <c r="P1526" s="454"/>
      <c r="Q1526" s="454"/>
      <c r="R1526" s="454"/>
      <c r="S1526" s="217">
        <f t="shared" si="1760"/>
        <v>0</v>
      </c>
      <c r="T1526" s="217">
        <f t="shared" si="1761"/>
        <v>15602524</v>
      </c>
      <c r="U1526" s="454"/>
      <c r="V1526" s="454"/>
      <c r="W1526" s="454"/>
      <c r="X1526" s="454"/>
      <c r="Y1526" s="454"/>
      <c r="Z1526" s="217">
        <f>SUM(U1526:Y1526)</f>
        <v>0</v>
      </c>
      <c r="AA1526" s="217">
        <f>Z1526+T1526</f>
        <v>15602524</v>
      </c>
      <c r="AB1526" s="454"/>
      <c r="AC1526" s="454"/>
      <c r="AD1526" s="454"/>
      <c r="AE1526" s="454">
        <v>-3056074</v>
      </c>
      <c r="AF1526" s="454"/>
      <c r="AG1526" s="217">
        <f t="shared" ref="AG1526" si="1764">SUM(AB1526:AF1526)</f>
        <v>-3056074</v>
      </c>
      <c r="AH1526" s="217">
        <f t="shared" ref="AH1526" si="1765">AG1526+AA1526</f>
        <v>12546450</v>
      </c>
      <c r="AI1526" s="217">
        <v>12029799</v>
      </c>
      <c r="AJ1526" s="764">
        <f>AI1526/AH1526*100</f>
        <v>95.882094138182509</v>
      </c>
    </row>
    <row r="1527" spans="1:36" ht="12.5" customHeight="1">
      <c r="A1527" s="40"/>
      <c r="B1527" s="40"/>
      <c r="C1527" s="124"/>
      <c r="D1527" s="124"/>
      <c r="E1527" s="124"/>
      <c r="F1527" s="41"/>
      <c r="G1527" s="41"/>
      <c r="H1527" s="66"/>
      <c r="I1527" s="41"/>
      <c r="J1527" s="126"/>
      <c r="K1527" s="204"/>
      <c r="L1527" s="454"/>
      <c r="M1527" s="454"/>
      <c r="N1527" s="454"/>
      <c r="O1527" s="454"/>
      <c r="P1527" s="454"/>
      <c r="Q1527" s="454"/>
      <c r="R1527" s="454"/>
      <c r="S1527" s="454"/>
      <c r="T1527" s="454"/>
      <c r="U1527" s="454"/>
      <c r="V1527" s="454"/>
      <c r="W1527" s="454"/>
      <c r="X1527" s="454"/>
      <c r="Y1527" s="454"/>
      <c r="Z1527" s="454"/>
      <c r="AA1527" s="454"/>
      <c r="AB1527" s="454"/>
      <c r="AC1527" s="454"/>
      <c r="AD1527" s="454"/>
      <c r="AE1527" s="454"/>
      <c r="AF1527" s="454"/>
      <c r="AG1527" s="454"/>
      <c r="AH1527" s="454"/>
      <c r="AI1527" s="454"/>
      <c r="AJ1527" s="769"/>
    </row>
    <row r="1528" spans="1:36" ht="12.5" customHeight="1">
      <c r="A1528" s="40"/>
      <c r="B1528" s="40"/>
      <c r="C1528" s="124"/>
      <c r="D1528" s="124"/>
      <c r="E1528" s="124"/>
      <c r="F1528" s="64"/>
      <c r="G1528" s="64"/>
      <c r="H1528" s="65"/>
      <c r="I1528" s="64" t="s">
        <v>38</v>
      </c>
      <c r="J1528" s="333">
        <f>SUM(J1524:J1527)</f>
        <v>458178</v>
      </c>
      <c r="K1528" s="457">
        <f>SUM(K1524:K1527)</f>
        <v>15602524</v>
      </c>
      <c r="L1528" s="458">
        <f>SUM(L1524:L1527)</f>
        <v>16060702</v>
      </c>
      <c r="M1528" s="458">
        <f t="shared" ref="M1528:T1528" si="1766">SUM(M1524:M1527)</f>
        <v>0</v>
      </c>
      <c r="N1528" s="458">
        <f t="shared" si="1766"/>
        <v>0</v>
      </c>
      <c r="O1528" s="458">
        <f t="shared" si="1766"/>
        <v>0</v>
      </c>
      <c r="P1528" s="458">
        <f t="shared" si="1766"/>
        <v>0</v>
      </c>
      <c r="Q1528" s="458">
        <f t="shared" si="1766"/>
        <v>0</v>
      </c>
      <c r="R1528" s="458">
        <f t="shared" si="1766"/>
        <v>0</v>
      </c>
      <c r="S1528" s="458">
        <f t="shared" si="1766"/>
        <v>0</v>
      </c>
      <c r="T1528" s="458">
        <f t="shared" si="1766"/>
        <v>16060702</v>
      </c>
      <c r="U1528" s="458"/>
      <c r="V1528" s="458"/>
      <c r="W1528" s="458"/>
      <c r="X1528" s="458"/>
      <c r="Y1528" s="458"/>
      <c r="Z1528" s="458">
        <f t="shared" ref="Z1528:AA1528" si="1767">SUM(Z1524:Z1527)</f>
        <v>0</v>
      </c>
      <c r="AA1528" s="458">
        <f t="shared" si="1767"/>
        <v>16060702</v>
      </c>
      <c r="AB1528" s="458"/>
      <c r="AC1528" s="458"/>
      <c r="AD1528" s="458"/>
      <c r="AE1528" s="458">
        <f t="shared" ref="AE1528:AH1528" si="1768">SUM(AE1524:AE1527)</f>
        <v>-3226000</v>
      </c>
      <c r="AF1528" s="458"/>
      <c r="AG1528" s="458">
        <f t="shared" si="1768"/>
        <v>-3226000</v>
      </c>
      <c r="AH1528" s="458">
        <f t="shared" si="1768"/>
        <v>12834702</v>
      </c>
      <c r="AI1528" s="458">
        <f t="shared" ref="AI1528" si="1769">SUM(AI1524:AI1527)</f>
        <v>12243051</v>
      </c>
      <c r="AJ1528" s="770">
        <f>AI1528/AH1528*100</f>
        <v>95.390224097139139</v>
      </c>
    </row>
    <row r="1529" spans="1:36" ht="12.5" customHeight="1">
      <c r="A1529" s="40"/>
      <c r="B1529" s="40"/>
      <c r="C1529" s="124"/>
      <c r="D1529" s="124"/>
      <c r="E1529" s="124"/>
      <c r="F1529" s="41"/>
      <c r="G1529" s="41"/>
      <c r="H1529" s="66"/>
      <c r="I1529" s="41"/>
      <c r="J1529" s="126"/>
      <c r="K1529" s="204"/>
      <c r="L1529" s="205"/>
      <c r="M1529" s="205"/>
      <c r="N1529" s="205"/>
      <c r="O1529" s="205"/>
      <c r="P1529" s="205"/>
      <c r="Q1529" s="205"/>
      <c r="R1529" s="205"/>
      <c r="S1529" s="205"/>
      <c r="T1529" s="205"/>
      <c r="U1529" s="205"/>
      <c r="V1529" s="205"/>
      <c r="W1529" s="205"/>
      <c r="X1529" s="205"/>
      <c r="Y1529" s="205"/>
      <c r="Z1529" s="205"/>
      <c r="AA1529" s="205"/>
      <c r="AB1529" s="205"/>
      <c r="AC1529" s="205"/>
      <c r="AD1529" s="205"/>
      <c r="AE1529" s="205"/>
      <c r="AF1529" s="205"/>
      <c r="AG1529" s="205"/>
      <c r="AH1529" s="205"/>
      <c r="AI1529" s="205"/>
      <c r="AJ1529" s="747"/>
    </row>
    <row r="1530" spans="1:36" ht="12.5" customHeight="1">
      <c r="A1530" s="40"/>
      <c r="B1530" s="40"/>
      <c r="C1530" s="124"/>
      <c r="D1530" s="124"/>
      <c r="E1530" s="124"/>
      <c r="F1530" s="166"/>
      <c r="G1530" s="166"/>
      <c r="H1530" s="464"/>
      <c r="I1530" s="166" t="s">
        <v>37</v>
      </c>
      <c r="J1530" s="460">
        <f>J1486+J1494+J1504+J1512+J1520+J1528</f>
        <v>59528617</v>
      </c>
      <c r="K1530" s="461">
        <f>K1486+K1494+K1504+K1512+K1520+K1528</f>
        <v>682275902</v>
      </c>
      <c r="L1530" s="460">
        <f>L1486+L1494+L1504+L1512+L1520+L1528</f>
        <v>741804519</v>
      </c>
      <c r="M1530" s="460">
        <f t="shared" ref="M1530:T1530" si="1770">M1486+M1494+M1504+M1512+M1520+M1528</f>
        <v>2848176</v>
      </c>
      <c r="N1530" s="460">
        <f t="shared" si="1770"/>
        <v>0</v>
      </c>
      <c r="O1530" s="460">
        <f t="shared" si="1770"/>
        <v>0</v>
      </c>
      <c r="P1530" s="460">
        <f t="shared" si="1770"/>
        <v>0</v>
      </c>
      <c r="Q1530" s="460">
        <f t="shared" si="1770"/>
        <v>-3286623</v>
      </c>
      <c r="R1530" s="460">
        <f t="shared" si="1770"/>
        <v>0</v>
      </c>
      <c r="S1530" s="460">
        <f t="shared" si="1770"/>
        <v>-438447</v>
      </c>
      <c r="T1530" s="460">
        <f t="shared" si="1770"/>
        <v>741366072</v>
      </c>
      <c r="U1530" s="460"/>
      <c r="V1530" s="460"/>
      <c r="W1530" s="460">
        <f t="shared" ref="W1530:Y1530" si="1771">W1486+W1494+W1504+W1512+W1520+W1528</f>
        <v>0</v>
      </c>
      <c r="X1530" s="460">
        <f t="shared" si="1771"/>
        <v>-23945000</v>
      </c>
      <c r="Y1530" s="460">
        <f t="shared" si="1771"/>
        <v>0</v>
      </c>
      <c r="Z1530" s="460">
        <f t="shared" ref="Z1530:AA1530" si="1772">Z1486+Z1494+Z1504+Z1512+Z1520+Z1528</f>
        <v>-23945000</v>
      </c>
      <c r="AA1530" s="460">
        <f t="shared" si="1772"/>
        <v>717421072</v>
      </c>
      <c r="AB1530" s="460"/>
      <c r="AC1530" s="460"/>
      <c r="AD1530" s="460">
        <f t="shared" ref="AD1530:AH1530" si="1773">AD1486+AD1494+AD1504+AD1512+AD1520+AD1528</f>
        <v>-16354059</v>
      </c>
      <c r="AE1530" s="460">
        <f t="shared" si="1773"/>
        <v>6467471</v>
      </c>
      <c r="AF1530" s="460">
        <f t="shared" si="1773"/>
        <v>0</v>
      </c>
      <c r="AG1530" s="460">
        <f t="shared" si="1773"/>
        <v>-9886588</v>
      </c>
      <c r="AH1530" s="460">
        <f t="shared" si="1773"/>
        <v>707534484</v>
      </c>
      <c r="AI1530" s="460">
        <f t="shared" ref="AI1530" si="1774">AI1486+AI1494+AI1504+AI1512+AI1520+AI1528</f>
        <v>341076418</v>
      </c>
      <c r="AJ1530" s="776">
        <f>AI1530/AH1530*100</f>
        <v>48.206331382146459</v>
      </c>
    </row>
    <row r="1531" spans="1:36" ht="14">
      <c r="A1531" s="40"/>
      <c r="B1531" s="40"/>
      <c r="C1531" s="124"/>
      <c r="D1531" s="124"/>
      <c r="E1531" s="124"/>
      <c r="F1531" s="41"/>
      <c r="G1531" s="41"/>
      <c r="H1531" s="66"/>
      <c r="I1531" s="41"/>
      <c r="J1531" s="126"/>
      <c r="K1531" s="204"/>
      <c r="L1531" s="205"/>
      <c r="M1531" s="205"/>
      <c r="N1531" s="205"/>
      <c r="O1531" s="205"/>
      <c r="P1531" s="205"/>
      <c r="Q1531" s="205"/>
      <c r="R1531" s="205"/>
      <c r="S1531" s="205"/>
      <c r="T1531" s="205"/>
      <c r="U1531" s="205"/>
      <c r="V1531" s="205"/>
      <c r="W1531" s="205"/>
      <c r="X1531" s="205"/>
      <c r="Y1531" s="205"/>
      <c r="Z1531" s="205"/>
      <c r="AA1531" s="205"/>
      <c r="AB1531" s="205"/>
      <c r="AC1531" s="205"/>
      <c r="AD1531" s="205"/>
      <c r="AE1531" s="205"/>
      <c r="AF1531" s="205"/>
      <c r="AG1531" s="205"/>
      <c r="AH1531" s="205"/>
      <c r="AI1531" s="205"/>
      <c r="AJ1531" s="747"/>
    </row>
    <row r="1532" spans="1:36" ht="30.5" customHeight="1">
      <c r="A1532" s="40">
        <v>153</v>
      </c>
      <c r="B1532" s="40"/>
      <c r="C1532" s="124"/>
      <c r="D1532" s="124"/>
      <c r="E1532" s="124"/>
      <c r="F1532" s="954" t="s">
        <v>563</v>
      </c>
      <c r="G1532" s="935"/>
      <c r="H1532" s="935"/>
      <c r="I1532" s="936"/>
      <c r="J1532" s="126"/>
      <c r="K1532" s="204"/>
      <c r="L1532" s="205"/>
      <c r="M1532" s="205"/>
      <c r="N1532" s="205"/>
      <c r="O1532" s="205"/>
      <c r="P1532" s="205"/>
      <c r="Q1532" s="205"/>
      <c r="R1532" s="205"/>
      <c r="S1532" s="205"/>
      <c r="T1532" s="205"/>
      <c r="U1532" s="205"/>
      <c r="V1532" s="205"/>
      <c r="W1532" s="205"/>
      <c r="X1532" s="205"/>
      <c r="Y1532" s="205"/>
      <c r="Z1532" s="205"/>
      <c r="AA1532" s="205"/>
      <c r="AB1532" s="205"/>
      <c r="AC1532" s="205"/>
      <c r="AD1532" s="205"/>
      <c r="AE1532" s="205"/>
      <c r="AF1532" s="205"/>
      <c r="AG1532" s="205"/>
      <c r="AH1532" s="205"/>
      <c r="AI1532" s="205"/>
      <c r="AJ1532" s="747"/>
    </row>
    <row r="1533" spans="1:36" ht="14">
      <c r="A1533" s="40"/>
      <c r="B1533" s="40"/>
      <c r="C1533" s="124">
        <v>1</v>
      </c>
      <c r="D1533" s="124"/>
      <c r="E1533" s="124"/>
      <c r="F1533" s="41"/>
      <c r="G1533" s="41"/>
      <c r="H1533" s="66" t="s">
        <v>35</v>
      </c>
      <c r="I1533" s="41"/>
      <c r="J1533" s="126"/>
      <c r="K1533" s="204"/>
      <c r="L1533" s="205"/>
      <c r="M1533" s="205"/>
      <c r="N1533" s="205"/>
      <c r="O1533" s="205"/>
      <c r="P1533" s="205"/>
      <c r="Q1533" s="205"/>
      <c r="R1533" s="205"/>
      <c r="S1533" s="205"/>
      <c r="T1533" s="205"/>
      <c r="U1533" s="205"/>
      <c r="V1533" s="205"/>
      <c r="W1533" s="205"/>
      <c r="X1533" s="205"/>
      <c r="Y1533" s="205"/>
      <c r="Z1533" s="205"/>
      <c r="AA1533" s="205"/>
      <c r="AB1533" s="205"/>
      <c r="AC1533" s="205"/>
      <c r="AD1533" s="205"/>
      <c r="AE1533" s="205"/>
      <c r="AF1533" s="205"/>
      <c r="AG1533" s="205"/>
      <c r="AH1533" s="205"/>
      <c r="AI1533" s="205"/>
      <c r="AJ1533" s="747"/>
    </row>
    <row r="1534" spans="1:36" ht="14">
      <c r="A1534" s="40"/>
      <c r="B1534" s="40"/>
      <c r="C1534" s="124"/>
      <c r="D1534" s="124">
        <v>3</v>
      </c>
      <c r="E1534" s="124" t="s">
        <v>199</v>
      </c>
      <c r="F1534" s="41"/>
      <c r="G1534" s="41"/>
      <c r="H1534" s="66"/>
      <c r="I1534" s="125" t="s">
        <v>116</v>
      </c>
      <c r="J1534" s="126"/>
      <c r="K1534" s="204"/>
      <c r="L1534" s="205"/>
      <c r="M1534" s="220">
        <v>132080</v>
      </c>
      <c r="N1534" s="220"/>
      <c r="O1534" s="220"/>
      <c r="P1534" s="220"/>
      <c r="Q1534" s="220"/>
      <c r="R1534" s="220"/>
      <c r="S1534" s="217">
        <f t="shared" ref="S1534:S1536" si="1775">SUM(M1534:R1534)</f>
        <v>132080</v>
      </c>
      <c r="T1534" s="217">
        <f t="shared" ref="T1534:T1536" si="1776">S1534+L1534</f>
        <v>132080</v>
      </c>
      <c r="U1534" s="220"/>
      <c r="V1534" s="220"/>
      <c r="W1534" s="220"/>
      <c r="X1534" s="220"/>
      <c r="Y1534" s="220"/>
      <c r="Z1534" s="217">
        <f>SUM(U1534:Y1534)</f>
        <v>0</v>
      </c>
      <c r="AA1534" s="217">
        <f>Z1534+T1534</f>
        <v>132080</v>
      </c>
      <c r="AB1534" s="220"/>
      <c r="AC1534" s="220"/>
      <c r="AD1534" s="220"/>
      <c r="AE1534" s="220"/>
      <c r="AF1534" s="220"/>
      <c r="AG1534" s="217">
        <f t="shared" ref="AG1534" si="1777">SUM(AB1534:AF1534)</f>
        <v>0</v>
      </c>
      <c r="AH1534" s="217">
        <f t="shared" ref="AH1534" si="1778">AG1534+AA1534</f>
        <v>132080</v>
      </c>
      <c r="AI1534" s="217">
        <v>132080</v>
      </c>
      <c r="AJ1534" s="764">
        <f>AI1534/AH1534*100</f>
        <v>100</v>
      </c>
    </row>
    <row r="1535" spans="1:36" ht="14">
      <c r="A1535" s="40"/>
      <c r="B1535" s="40"/>
      <c r="C1535" s="124">
        <v>2</v>
      </c>
      <c r="D1535" s="124"/>
      <c r="E1535" s="124"/>
      <c r="F1535" s="41"/>
      <c r="G1535" s="41"/>
      <c r="H1535" s="162" t="s">
        <v>211</v>
      </c>
      <c r="I1535" s="66"/>
      <c r="J1535" s="126"/>
      <c r="K1535" s="204"/>
      <c r="L1535" s="205"/>
      <c r="M1535" s="205"/>
      <c r="N1535" s="205"/>
      <c r="O1535" s="205"/>
      <c r="P1535" s="205"/>
      <c r="Q1535" s="205"/>
      <c r="R1535" s="205"/>
      <c r="S1535" s="217"/>
      <c r="T1535" s="217"/>
      <c r="U1535" s="205"/>
      <c r="V1535" s="205"/>
      <c r="W1535" s="205"/>
      <c r="X1535" s="205"/>
      <c r="Y1535" s="205"/>
      <c r="Z1535" s="217"/>
      <c r="AA1535" s="217"/>
      <c r="AB1535" s="205"/>
      <c r="AC1535" s="205"/>
      <c r="AD1535" s="205"/>
      <c r="AE1535" s="205"/>
      <c r="AF1535" s="205"/>
      <c r="AG1535" s="217"/>
      <c r="AH1535" s="217"/>
      <c r="AI1535" s="217"/>
      <c r="AJ1535" s="764"/>
    </row>
    <row r="1536" spans="1:36" ht="14">
      <c r="A1536" s="40"/>
      <c r="B1536" s="40"/>
      <c r="C1536" s="124"/>
      <c r="D1536" s="124">
        <v>7</v>
      </c>
      <c r="E1536" s="124" t="s">
        <v>199</v>
      </c>
      <c r="F1536" s="41"/>
      <c r="G1536" s="41"/>
      <c r="H1536" s="66"/>
      <c r="I1536" s="125" t="s">
        <v>214</v>
      </c>
      <c r="J1536" s="452"/>
      <c r="K1536" s="453">
        <v>30000000</v>
      </c>
      <c r="L1536" s="454"/>
      <c r="M1536" s="454">
        <v>2905760</v>
      </c>
      <c r="N1536" s="454"/>
      <c r="O1536" s="454"/>
      <c r="P1536" s="454"/>
      <c r="Q1536" s="454">
        <v>4217181</v>
      </c>
      <c r="R1536" s="454"/>
      <c r="S1536" s="217">
        <f t="shared" si="1775"/>
        <v>7122941</v>
      </c>
      <c r="T1536" s="217">
        <f t="shared" si="1776"/>
        <v>7122941</v>
      </c>
      <c r="U1536" s="454"/>
      <c r="V1536" s="454"/>
      <c r="W1536" s="454"/>
      <c r="X1536" s="454"/>
      <c r="Y1536" s="454"/>
      <c r="Z1536" s="217">
        <f>SUM(U1536:Y1536)</f>
        <v>0</v>
      </c>
      <c r="AA1536" s="217">
        <f>Z1536+T1536</f>
        <v>7122941</v>
      </c>
      <c r="AB1536" s="454"/>
      <c r="AC1536" s="454"/>
      <c r="AD1536" s="454"/>
      <c r="AE1536" s="454"/>
      <c r="AF1536" s="454"/>
      <c r="AG1536" s="217">
        <f t="shared" ref="AG1536" si="1779">SUM(AB1536:AF1536)</f>
        <v>0</v>
      </c>
      <c r="AH1536" s="217">
        <f t="shared" ref="AH1536" si="1780">AG1536+AA1536</f>
        <v>7122941</v>
      </c>
      <c r="AI1536" s="217">
        <v>7122941</v>
      </c>
      <c r="AJ1536" s="764">
        <f>AI1536/AH1536*100</f>
        <v>100</v>
      </c>
    </row>
    <row r="1537" spans="1:36" ht="14">
      <c r="A1537" s="40"/>
      <c r="B1537" s="40"/>
      <c r="C1537" s="124"/>
      <c r="D1537" s="124"/>
      <c r="E1537" s="124"/>
      <c r="F1537" s="41"/>
      <c r="G1537" s="41"/>
      <c r="H1537" s="66"/>
      <c r="I1537" s="66"/>
      <c r="J1537" s="126"/>
      <c r="K1537" s="204"/>
      <c r="L1537" s="454"/>
      <c r="M1537" s="454"/>
      <c r="N1537" s="454"/>
      <c r="O1537" s="454"/>
      <c r="P1537" s="454"/>
      <c r="Q1537" s="454"/>
      <c r="R1537" s="454"/>
      <c r="S1537" s="454"/>
      <c r="T1537" s="454"/>
      <c r="U1537" s="454"/>
      <c r="V1537" s="454"/>
      <c r="W1537" s="454"/>
      <c r="X1537" s="454"/>
      <c r="Y1537" s="454"/>
      <c r="Z1537" s="454"/>
      <c r="AA1537" s="454"/>
      <c r="AB1537" s="454"/>
      <c r="AC1537" s="454"/>
      <c r="AD1537" s="454"/>
      <c r="AE1537" s="454"/>
      <c r="AF1537" s="454"/>
      <c r="AG1537" s="454"/>
      <c r="AH1537" s="454"/>
      <c r="AI1537" s="454"/>
      <c r="AJ1537" s="769"/>
    </row>
    <row r="1538" spans="1:36" ht="14">
      <c r="A1538" s="40"/>
      <c r="B1538" s="40"/>
      <c r="C1538" s="124"/>
      <c r="D1538" s="124"/>
      <c r="E1538" s="124"/>
      <c r="F1538" s="166"/>
      <c r="G1538" s="166"/>
      <c r="H1538" s="464"/>
      <c r="I1538" s="166" t="s">
        <v>37</v>
      </c>
      <c r="J1538" s="460"/>
      <c r="K1538" s="461">
        <f>SUM(K1536:K1537)</f>
        <v>30000000</v>
      </c>
      <c r="L1538" s="460">
        <f>SUM(L1536:L1537)</f>
        <v>0</v>
      </c>
      <c r="M1538" s="460">
        <f>SUM(M1534:M1536)</f>
        <v>3037840</v>
      </c>
      <c r="N1538" s="460">
        <f t="shared" ref="N1538:T1538" si="1781">SUM(N1534:N1536)</f>
        <v>0</v>
      </c>
      <c r="O1538" s="460">
        <f t="shared" si="1781"/>
        <v>0</v>
      </c>
      <c r="P1538" s="460">
        <f t="shared" si="1781"/>
        <v>0</v>
      </c>
      <c r="Q1538" s="460">
        <f t="shared" si="1781"/>
        <v>4217181</v>
      </c>
      <c r="R1538" s="460">
        <f t="shared" si="1781"/>
        <v>0</v>
      </c>
      <c r="S1538" s="460">
        <f t="shared" si="1781"/>
        <v>7255021</v>
      </c>
      <c r="T1538" s="460">
        <f t="shared" si="1781"/>
        <v>7255021</v>
      </c>
      <c r="U1538" s="460"/>
      <c r="V1538" s="460"/>
      <c r="W1538" s="460"/>
      <c r="X1538" s="460"/>
      <c r="Y1538" s="460"/>
      <c r="Z1538" s="460">
        <f t="shared" ref="Z1538:AA1538" si="1782">SUM(Z1534:Z1536)</f>
        <v>0</v>
      </c>
      <c r="AA1538" s="460">
        <f t="shared" si="1782"/>
        <v>7255021</v>
      </c>
      <c r="AB1538" s="460"/>
      <c r="AC1538" s="460"/>
      <c r="AD1538" s="460"/>
      <c r="AE1538" s="460"/>
      <c r="AF1538" s="460"/>
      <c r="AG1538" s="460">
        <f t="shared" ref="AG1538:AI1538" si="1783">SUM(AG1534:AG1536)</f>
        <v>0</v>
      </c>
      <c r="AH1538" s="460">
        <f t="shared" si="1783"/>
        <v>7255021</v>
      </c>
      <c r="AI1538" s="460">
        <f t="shared" si="1783"/>
        <v>7255021</v>
      </c>
      <c r="AJ1538" s="776">
        <f>AI1538/AH1538*100</f>
        <v>100</v>
      </c>
    </row>
    <row r="1539" spans="1:36" ht="14">
      <c r="A1539" s="160"/>
      <c r="B1539" s="160"/>
      <c r="C1539" s="161"/>
      <c r="D1539" s="161"/>
      <c r="E1539" s="161"/>
      <c r="F1539" s="41"/>
      <c r="G1539" s="41"/>
      <c r="H1539" s="66"/>
      <c r="I1539" s="41"/>
      <c r="J1539" s="205"/>
      <c r="K1539" s="467"/>
      <c r="L1539" s="205"/>
      <c r="M1539" s="205"/>
      <c r="N1539" s="205"/>
      <c r="O1539" s="205"/>
      <c r="P1539" s="205"/>
      <c r="Q1539" s="205"/>
      <c r="R1539" s="205"/>
      <c r="S1539" s="205"/>
      <c r="T1539" s="205"/>
      <c r="U1539" s="205"/>
      <c r="V1539" s="205"/>
      <c r="W1539" s="205"/>
      <c r="X1539" s="205"/>
      <c r="Y1539" s="205"/>
      <c r="Z1539" s="205"/>
      <c r="AA1539" s="205"/>
      <c r="AB1539" s="205"/>
      <c r="AC1539" s="205"/>
      <c r="AD1539" s="205"/>
      <c r="AE1539" s="205"/>
      <c r="AF1539" s="205"/>
      <c r="AG1539" s="205"/>
      <c r="AH1539" s="205"/>
      <c r="AI1539" s="205"/>
      <c r="AJ1539" s="747"/>
    </row>
    <row r="1540" spans="1:36" ht="14">
      <c r="A1540" s="160">
        <v>154</v>
      </c>
      <c r="B1540" s="160"/>
      <c r="C1540" s="161"/>
      <c r="D1540" s="161"/>
      <c r="E1540" s="161"/>
      <c r="F1540" s="41" t="s">
        <v>607</v>
      </c>
      <c r="G1540" s="41"/>
      <c r="H1540" s="66"/>
      <c r="I1540" s="41"/>
      <c r="J1540" s="205"/>
      <c r="K1540" s="467"/>
      <c r="L1540" s="205"/>
      <c r="M1540" s="205"/>
      <c r="N1540" s="205"/>
      <c r="O1540" s="205"/>
      <c r="P1540" s="205"/>
      <c r="Q1540" s="205"/>
      <c r="R1540" s="205"/>
      <c r="S1540" s="205"/>
      <c r="T1540" s="205"/>
      <c r="U1540" s="205"/>
      <c r="V1540" s="205"/>
      <c r="W1540" s="205"/>
      <c r="X1540" s="205"/>
      <c r="Y1540" s="205"/>
      <c r="Z1540" s="205"/>
      <c r="AA1540" s="205"/>
      <c r="AB1540" s="205"/>
      <c r="AC1540" s="205"/>
      <c r="AD1540" s="205"/>
      <c r="AE1540" s="205"/>
      <c r="AF1540" s="205"/>
      <c r="AG1540" s="205"/>
      <c r="AH1540" s="205"/>
      <c r="AI1540" s="205"/>
      <c r="AJ1540" s="747"/>
    </row>
    <row r="1541" spans="1:36" ht="14">
      <c r="A1541" s="160"/>
      <c r="B1541" s="160"/>
      <c r="C1541" s="124">
        <v>2</v>
      </c>
      <c r="D1541" s="124"/>
      <c r="E1541" s="124"/>
      <c r="F1541" s="41"/>
      <c r="G1541" s="41"/>
      <c r="H1541" s="162" t="s">
        <v>211</v>
      </c>
      <c r="I1541" s="66"/>
      <c r="J1541" s="205"/>
      <c r="K1541" s="467"/>
      <c r="L1541" s="205"/>
      <c r="M1541" s="205"/>
      <c r="N1541" s="205"/>
      <c r="O1541" s="205"/>
      <c r="P1541" s="205"/>
      <c r="Q1541" s="205"/>
      <c r="R1541" s="205"/>
      <c r="S1541" s="205"/>
      <c r="T1541" s="205"/>
      <c r="U1541" s="205"/>
      <c r="V1541" s="205"/>
      <c r="W1541" s="205"/>
      <c r="X1541" s="205"/>
      <c r="Y1541" s="205"/>
      <c r="Z1541" s="205"/>
      <c r="AA1541" s="205"/>
      <c r="AB1541" s="205"/>
      <c r="AC1541" s="205"/>
      <c r="AD1541" s="205"/>
      <c r="AE1541" s="205"/>
      <c r="AF1541" s="205"/>
      <c r="AG1541" s="205"/>
      <c r="AH1541" s="205"/>
      <c r="AI1541" s="205"/>
      <c r="AJ1541" s="747"/>
    </row>
    <row r="1542" spans="1:36" ht="14">
      <c r="A1542" s="160"/>
      <c r="B1542" s="160"/>
      <c r="C1542" s="124"/>
      <c r="D1542" s="124">
        <v>7</v>
      </c>
      <c r="E1542" s="124" t="s">
        <v>199</v>
      </c>
      <c r="F1542" s="41"/>
      <c r="G1542" s="41"/>
      <c r="H1542" s="66"/>
      <c r="I1542" s="125" t="s">
        <v>214</v>
      </c>
      <c r="J1542" s="205"/>
      <c r="K1542" s="467"/>
      <c r="L1542" s="205"/>
      <c r="M1542" s="205"/>
      <c r="N1542" s="205"/>
      <c r="O1542" s="220">
        <v>25400000</v>
      </c>
      <c r="P1542" s="205"/>
      <c r="Q1542" s="205"/>
      <c r="R1542" s="205"/>
      <c r="S1542" s="217">
        <f t="shared" ref="S1542" si="1784">SUM(M1542:R1542)</f>
        <v>25400000</v>
      </c>
      <c r="T1542" s="217">
        <f t="shared" ref="T1542" si="1785">S1542+L1542</f>
        <v>25400000</v>
      </c>
      <c r="U1542" s="205"/>
      <c r="V1542" s="220"/>
      <c r="W1542" s="205"/>
      <c r="X1542" s="205"/>
      <c r="Y1542" s="205"/>
      <c r="Z1542" s="217">
        <f>SUM(U1542:Y1542)</f>
        <v>0</v>
      </c>
      <c r="AA1542" s="217">
        <f>Z1542+T1542</f>
        <v>25400000</v>
      </c>
      <c r="AB1542" s="205"/>
      <c r="AC1542" s="220"/>
      <c r="AD1542" s="205"/>
      <c r="AE1542" s="205"/>
      <c r="AF1542" s="205"/>
      <c r="AG1542" s="217">
        <f t="shared" ref="AG1542" si="1786">SUM(AB1542:AF1542)</f>
        <v>0</v>
      </c>
      <c r="AH1542" s="217">
        <f t="shared" ref="AH1542" si="1787">AG1542+AA1542</f>
        <v>25400000</v>
      </c>
      <c r="AI1542" s="217"/>
      <c r="AJ1542" s="764"/>
    </row>
    <row r="1543" spans="1:36" ht="14">
      <c r="A1543" s="160"/>
      <c r="B1543" s="160"/>
      <c r="C1543" s="161"/>
      <c r="D1543" s="161"/>
      <c r="E1543" s="161"/>
      <c r="F1543" s="41"/>
      <c r="G1543" s="41"/>
      <c r="H1543" s="66"/>
      <c r="I1543" s="41"/>
      <c r="J1543" s="205"/>
      <c r="K1543" s="467"/>
      <c r="L1543" s="205"/>
      <c r="M1543" s="205"/>
      <c r="N1543" s="205"/>
      <c r="O1543" s="205"/>
      <c r="P1543" s="205"/>
      <c r="Q1543" s="205"/>
      <c r="R1543" s="205"/>
      <c r="S1543" s="205"/>
      <c r="T1543" s="205"/>
      <c r="U1543" s="205"/>
      <c r="V1543" s="205"/>
      <c r="W1543" s="205"/>
      <c r="X1543" s="205"/>
      <c r="Y1543" s="205"/>
      <c r="Z1543" s="205"/>
      <c r="AA1543" s="205"/>
      <c r="AB1543" s="205"/>
      <c r="AC1543" s="205"/>
      <c r="AD1543" s="205"/>
      <c r="AE1543" s="205"/>
      <c r="AF1543" s="205"/>
      <c r="AG1543" s="205"/>
      <c r="AH1543" s="205"/>
      <c r="AI1543" s="205"/>
      <c r="AJ1543" s="747"/>
    </row>
    <row r="1544" spans="1:36" ht="14">
      <c r="A1544" s="40"/>
      <c r="B1544" s="40"/>
      <c r="C1544" s="124"/>
      <c r="D1544" s="124"/>
      <c r="E1544" s="124"/>
      <c r="F1544" s="166"/>
      <c r="G1544" s="166"/>
      <c r="H1544" s="464"/>
      <c r="I1544" s="166" t="s">
        <v>37</v>
      </c>
      <c r="J1544" s="460"/>
      <c r="K1544" s="461">
        <f>SUM(K1542:K1543)</f>
        <v>0</v>
      </c>
      <c r="L1544" s="460">
        <f>SUM(L1542:L1543)</f>
        <v>0</v>
      </c>
      <c r="M1544" s="460">
        <f>SUM(M1540:M1542)</f>
        <v>0</v>
      </c>
      <c r="N1544" s="460">
        <f t="shared" ref="N1544:T1544" si="1788">SUM(N1540:N1542)</f>
        <v>0</v>
      </c>
      <c r="O1544" s="460">
        <f t="shared" si="1788"/>
        <v>25400000</v>
      </c>
      <c r="P1544" s="460">
        <f t="shared" si="1788"/>
        <v>0</v>
      </c>
      <c r="Q1544" s="460">
        <f t="shared" si="1788"/>
        <v>0</v>
      </c>
      <c r="R1544" s="460">
        <f t="shared" si="1788"/>
        <v>0</v>
      </c>
      <c r="S1544" s="460">
        <f t="shared" si="1788"/>
        <v>25400000</v>
      </c>
      <c r="T1544" s="460">
        <f t="shared" si="1788"/>
        <v>25400000</v>
      </c>
      <c r="U1544" s="460"/>
      <c r="V1544" s="460"/>
      <c r="W1544" s="460"/>
      <c r="X1544" s="460"/>
      <c r="Y1544" s="460"/>
      <c r="Z1544" s="460">
        <f t="shared" ref="Z1544:AA1544" si="1789">SUM(Z1540:Z1542)</f>
        <v>0</v>
      </c>
      <c r="AA1544" s="460">
        <f t="shared" si="1789"/>
        <v>25400000</v>
      </c>
      <c r="AB1544" s="460"/>
      <c r="AC1544" s="460"/>
      <c r="AD1544" s="460"/>
      <c r="AE1544" s="460"/>
      <c r="AF1544" s="460"/>
      <c r="AG1544" s="460">
        <f t="shared" ref="AG1544:AH1544" si="1790">SUM(AG1540:AG1542)</f>
        <v>0</v>
      </c>
      <c r="AH1544" s="460">
        <f t="shared" si="1790"/>
        <v>25400000</v>
      </c>
      <c r="AI1544" s="460"/>
      <c r="AJ1544" s="776"/>
    </row>
    <row r="1545" spans="1:36" ht="12.5" customHeight="1">
      <c r="A1545" s="40"/>
      <c r="B1545" s="40"/>
      <c r="C1545" s="124"/>
      <c r="D1545" s="124"/>
      <c r="E1545" s="124"/>
      <c r="F1545" s="41"/>
      <c r="G1545" s="41"/>
      <c r="H1545" s="66"/>
      <c r="I1545" s="41"/>
      <c r="J1545" s="126"/>
      <c r="K1545" s="204"/>
      <c r="L1545" s="205"/>
      <c r="M1545" s="205"/>
      <c r="N1545" s="205"/>
      <c r="O1545" s="205"/>
      <c r="P1545" s="205"/>
      <c r="Q1545" s="205"/>
      <c r="R1545" s="205"/>
      <c r="S1545" s="205"/>
      <c r="T1545" s="205"/>
      <c r="U1545" s="205"/>
      <c r="V1545" s="205"/>
      <c r="W1545" s="205"/>
      <c r="X1545" s="205"/>
      <c r="Y1545" s="205"/>
      <c r="Z1545" s="205"/>
      <c r="AA1545" s="205"/>
      <c r="AB1545" s="205"/>
      <c r="AC1545" s="205"/>
      <c r="AD1545" s="205"/>
      <c r="AE1545" s="205"/>
      <c r="AF1545" s="205"/>
      <c r="AG1545" s="205"/>
      <c r="AH1545" s="205"/>
      <c r="AI1545" s="205"/>
      <c r="AJ1545" s="747"/>
    </row>
    <row r="1546" spans="1:36" s="422" customFormat="1" ht="12.5" customHeight="1">
      <c r="A1546" s="509"/>
      <c r="B1546" s="670"/>
      <c r="C1546" s="510"/>
      <c r="D1546" s="510"/>
      <c r="E1546" s="510"/>
      <c r="F1546" s="937" t="s">
        <v>200</v>
      </c>
      <c r="G1546" s="937"/>
      <c r="H1546" s="937"/>
      <c r="I1546" s="938"/>
      <c r="J1546" s="511">
        <f>J1550</f>
        <v>74469097</v>
      </c>
      <c r="K1546" s="512">
        <f t="shared" ref="K1546:L1546" si="1791">K1550</f>
        <v>1188430247</v>
      </c>
      <c r="L1546" s="223">
        <f t="shared" si="1791"/>
        <v>1270958864</v>
      </c>
      <c r="M1546" s="223">
        <f t="shared" ref="M1546:U1546" si="1792">M1550</f>
        <v>22468057</v>
      </c>
      <c r="N1546" s="223">
        <f t="shared" si="1792"/>
        <v>0</v>
      </c>
      <c r="O1546" s="223">
        <f t="shared" si="1792"/>
        <v>28400000</v>
      </c>
      <c r="P1546" s="223">
        <f t="shared" si="1792"/>
        <v>0</v>
      </c>
      <c r="Q1546" s="223">
        <f t="shared" si="1792"/>
        <v>-22547767</v>
      </c>
      <c r="R1546" s="223">
        <f t="shared" si="1792"/>
        <v>0</v>
      </c>
      <c r="S1546" s="223">
        <f t="shared" si="1792"/>
        <v>28320290</v>
      </c>
      <c r="T1546" s="223">
        <f t="shared" si="1792"/>
        <v>1299279154</v>
      </c>
      <c r="U1546" s="223">
        <f t="shared" si="1792"/>
        <v>0</v>
      </c>
      <c r="V1546" s="223">
        <f t="shared" ref="V1546:Y1546" si="1793">V1550</f>
        <v>3863012</v>
      </c>
      <c r="W1546" s="223">
        <f t="shared" si="1793"/>
        <v>0</v>
      </c>
      <c r="X1546" s="223">
        <f t="shared" si="1793"/>
        <v>-22966946</v>
      </c>
      <c r="Y1546" s="223">
        <f t="shared" si="1793"/>
        <v>0</v>
      </c>
      <c r="Z1546" s="223">
        <f t="shared" ref="Z1546:AF1546" si="1794">Z1550</f>
        <v>-19103934</v>
      </c>
      <c r="AA1546" s="223">
        <f t="shared" si="1794"/>
        <v>1280175220</v>
      </c>
      <c r="AB1546" s="223">
        <f t="shared" si="1794"/>
        <v>0</v>
      </c>
      <c r="AC1546" s="223">
        <f t="shared" si="1794"/>
        <v>0</v>
      </c>
      <c r="AD1546" s="223">
        <f t="shared" si="1794"/>
        <v>-16354059</v>
      </c>
      <c r="AE1546" s="223">
        <f t="shared" si="1794"/>
        <v>-19232455</v>
      </c>
      <c r="AF1546" s="223">
        <f t="shared" si="1794"/>
        <v>0</v>
      </c>
      <c r="AG1546" s="223">
        <f t="shared" ref="AG1546:AI1546" si="1795">AG1550</f>
        <v>-35586514</v>
      </c>
      <c r="AH1546" s="223">
        <f t="shared" si="1795"/>
        <v>1244588706</v>
      </c>
      <c r="AI1546" s="223">
        <f t="shared" si="1795"/>
        <v>579011620</v>
      </c>
      <c r="AJ1546" s="778">
        <f>AI1546/AH1546*100</f>
        <v>46.522326388521797</v>
      </c>
    </row>
    <row r="1547" spans="1:36" s="422" customFormat="1" ht="12.5" customHeight="1">
      <c r="A1547" s="40"/>
      <c r="B1547" s="40"/>
      <c r="C1547" s="124"/>
      <c r="D1547" s="124"/>
      <c r="E1547" s="124"/>
      <c r="F1547" s="41"/>
      <c r="G1547" s="41"/>
      <c r="H1547" s="66"/>
      <c r="I1547" s="41"/>
      <c r="J1547" s="126"/>
      <c r="K1547" s="204"/>
      <c r="L1547" s="205"/>
      <c r="M1547" s="205"/>
      <c r="N1547" s="205"/>
      <c r="O1547" s="205"/>
      <c r="P1547" s="205"/>
      <c r="Q1547" s="205"/>
      <c r="R1547" s="205"/>
      <c r="S1547" s="205"/>
      <c r="T1547" s="205"/>
      <c r="U1547" s="205"/>
      <c r="V1547" s="205"/>
      <c r="W1547" s="205"/>
      <c r="X1547" s="205"/>
      <c r="Y1547" s="205"/>
      <c r="Z1547" s="205"/>
      <c r="AA1547" s="205"/>
      <c r="AB1547" s="205"/>
      <c r="AC1547" s="205"/>
      <c r="AD1547" s="205"/>
      <c r="AE1547" s="205"/>
      <c r="AF1547" s="205"/>
      <c r="AG1547" s="205"/>
      <c r="AH1547" s="205"/>
      <c r="AI1547" s="205"/>
      <c r="AJ1547" s="747"/>
    </row>
    <row r="1548" spans="1:36" s="422" customFormat="1" ht="12.5" customHeight="1">
      <c r="A1548" s="509"/>
      <c r="B1548" s="670"/>
      <c r="C1548" s="510"/>
      <c r="D1548" s="510"/>
      <c r="E1548" s="510"/>
      <c r="F1548" s="937" t="s">
        <v>201</v>
      </c>
      <c r="G1548" s="937"/>
      <c r="H1548" s="937"/>
      <c r="I1548" s="938"/>
      <c r="J1548" s="511"/>
      <c r="K1548" s="512"/>
      <c r="L1548" s="223"/>
      <c r="M1548" s="223"/>
      <c r="N1548" s="223"/>
      <c r="O1548" s="223"/>
      <c r="P1548" s="223"/>
      <c r="Q1548" s="223"/>
      <c r="R1548" s="223"/>
      <c r="S1548" s="223"/>
      <c r="T1548" s="223"/>
      <c r="U1548" s="223"/>
      <c r="V1548" s="223"/>
      <c r="W1548" s="223"/>
      <c r="X1548" s="223"/>
      <c r="Y1548" s="223"/>
      <c r="Z1548" s="223"/>
      <c r="AA1548" s="223"/>
      <c r="AB1548" s="223"/>
      <c r="AC1548" s="223"/>
      <c r="AD1548" s="223"/>
      <c r="AE1548" s="223"/>
      <c r="AF1548" s="223"/>
      <c r="AG1548" s="223"/>
      <c r="AH1548" s="223"/>
      <c r="AI1548" s="223"/>
      <c r="AJ1548" s="778"/>
    </row>
    <row r="1549" spans="1:36" ht="12.5" customHeight="1">
      <c r="A1549" s="40"/>
      <c r="B1549" s="40"/>
      <c r="C1549" s="124"/>
      <c r="D1549" s="124"/>
      <c r="E1549" s="124"/>
      <c r="F1549" s="41"/>
      <c r="G1549" s="41"/>
      <c r="H1549" s="66"/>
      <c r="I1549" s="66"/>
      <c r="J1549" s="126"/>
      <c r="K1549" s="204"/>
      <c r="L1549" s="454"/>
      <c r="M1549" s="454"/>
      <c r="N1549" s="454"/>
      <c r="O1549" s="454"/>
      <c r="P1549" s="454"/>
      <c r="Q1549" s="454"/>
      <c r="R1549" s="454"/>
      <c r="S1549" s="454"/>
      <c r="T1549" s="454"/>
      <c r="U1549" s="454"/>
      <c r="V1549" s="454"/>
      <c r="W1549" s="454"/>
      <c r="X1549" s="454"/>
      <c r="Y1549" s="454"/>
      <c r="Z1549" s="454"/>
      <c r="AA1549" s="454"/>
      <c r="AB1549" s="454"/>
      <c r="AC1549" s="454"/>
      <c r="AD1549" s="454"/>
      <c r="AE1549" s="454"/>
      <c r="AF1549" s="454"/>
      <c r="AG1549" s="454"/>
      <c r="AH1549" s="454"/>
      <c r="AI1549" s="454"/>
      <c r="AJ1549" s="769"/>
    </row>
    <row r="1550" spans="1:36" ht="12.5" customHeight="1">
      <c r="A1550" s="509"/>
      <c r="B1550" s="670"/>
      <c r="C1550" s="510"/>
      <c r="D1550" s="510"/>
      <c r="E1550" s="510"/>
      <c r="F1550" s="937" t="s">
        <v>702</v>
      </c>
      <c r="G1550" s="937"/>
      <c r="H1550" s="937"/>
      <c r="I1550" s="938"/>
      <c r="J1550" s="511">
        <f>SUM(J1409:J1528)/2</f>
        <v>74469097</v>
      </c>
      <c r="K1550" s="512">
        <f>SUM(K1409:K1528)/2</f>
        <v>1188430247</v>
      </c>
      <c r="L1550" s="223">
        <f>SUM(L1409:L1528)/2</f>
        <v>1270958864</v>
      </c>
      <c r="M1550" s="223">
        <f>SUM(M1409:M1528)/2+M1538</f>
        <v>22468057</v>
      </c>
      <c r="N1550" s="223">
        <f>SUM(N1409:N1528)/2+N1538</f>
        <v>0</v>
      </c>
      <c r="O1550" s="223">
        <f t="shared" ref="O1550:R1550" si="1796">SUM(O1409:O1528)/2+O1538+O1544</f>
        <v>28400000</v>
      </c>
      <c r="P1550" s="223">
        <f t="shared" si="1796"/>
        <v>0</v>
      </c>
      <c r="Q1550" s="223">
        <f t="shared" si="1796"/>
        <v>-22547767</v>
      </c>
      <c r="R1550" s="223">
        <f t="shared" si="1796"/>
        <v>0</v>
      </c>
      <c r="S1550" s="223">
        <f t="shared" ref="S1550:U1550" si="1797">SUM(S1409:S1528)/2+S1538+S1544</f>
        <v>28320290</v>
      </c>
      <c r="T1550" s="223">
        <f t="shared" si="1797"/>
        <v>1299279154</v>
      </c>
      <c r="U1550" s="223">
        <f t="shared" si="1797"/>
        <v>0</v>
      </c>
      <c r="V1550" s="223">
        <f t="shared" ref="V1550:Y1550" si="1798">SUM(V1409:V1528)/2+V1538+V1544</f>
        <v>3863012</v>
      </c>
      <c r="W1550" s="223">
        <f t="shared" si="1798"/>
        <v>0</v>
      </c>
      <c r="X1550" s="223">
        <f t="shared" si="1798"/>
        <v>-22966946</v>
      </c>
      <c r="Y1550" s="223">
        <f t="shared" si="1798"/>
        <v>0</v>
      </c>
      <c r="Z1550" s="223">
        <f t="shared" ref="Z1550:AF1550" si="1799">SUM(Z1409:Z1528)/2+Z1538+Z1544</f>
        <v>-19103934</v>
      </c>
      <c r="AA1550" s="223">
        <f t="shared" si="1799"/>
        <v>1280175220</v>
      </c>
      <c r="AB1550" s="223">
        <f t="shared" si="1799"/>
        <v>0</v>
      </c>
      <c r="AC1550" s="223">
        <f t="shared" si="1799"/>
        <v>0</v>
      </c>
      <c r="AD1550" s="223">
        <f t="shared" si="1799"/>
        <v>-16354059</v>
      </c>
      <c r="AE1550" s="223">
        <f t="shared" si="1799"/>
        <v>-19232455</v>
      </c>
      <c r="AF1550" s="223">
        <f t="shared" si="1799"/>
        <v>0</v>
      </c>
      <c r="AG1550" s="223">
        <f t="shared" ref="AG1550:AH1550" si="1800">SUM(AG1409:AG1528)/2+AG1538+AG1544</f>
        <v>-35586514</v>
      </c>
      <c r="AH1550" s="223">
        <f t="shared" si="1800"/>
        <v>1244588706</v>
      </c>
      <c r="AI1550" s="223">
        <f>SUM(AI1409:AI1528)/2+AI1538+AI1544</f>
        <v>579011620</v>
      </c>
      <c r="AJ1550" s="778">
        <f>AI1550/AH1550*100</f>
        <v>46.522326388521797</v>
      </c>
    </row>
    <row r="1551" spans="1:36" ht="12.5" customHeight="1">
      <c r="A1551" s="40"/>
      <c r="B1551" s="40"/>
      <c r="C1551" s="124"/>
      <c r="D1551" s="124"/>
      <c r="E1551" s="124"/>
      <c r="F1551" s="41"/>
      <c r="G1551" s="41"/>
      <c r="H1551" s="63"/>
      <c r="I1551" s="41"/>
      <c r="J1551" s="126"/>
      <c r="K1551" s="204"/>
      <c r="L1551" s="205"/>
      <c r="M1551" s="205"/>
      <c r="N1551" s="205"/>
      <c r="O1551" s="205"/>
      <c r="P1551" s="205"/>
      <c r="Q1551" s="205"/>
      <c r="R1551" s="205"/>
      <c r="S1551" s="205"/>
      <c r="T1551" s="205"/>
      <c r="U1551" s="205"/>
      <c r="V1551" s="205"/>
      <c r="W1551" s="205"/>
      <c r="X1551" s="205"/>
      <c r="Y1551" s="205"/>
      <c r="Z1551" s="205"/>
      <c r="AA1551" s="205"/>
      <c r="AB1551" s="205"/>
      <c r="AC1551" s="205"/>
      <c r="AD1551" s="205"/>
      <c r="AE1551" s="205"/>
      <c r="AF1551" s="205"/>
      <c r="AG1551" s="205"/>
      <c r="AH1551" s="205"/>
      <c r="AI1551" s="205"/>
      <c r="AJ1551" s="747"/>
    </row>
    <row r="1552" spans="1:36" ht="12.5" customHeight="1">
      <c r="A1552" s="40">
        <v>201</v>
      </c>
      <c r="B1552" s="40"/>
      <c r="C1552" s="124"/>
      <c r="D1552" s="124"/>
      <c r="E1552" s="124"/>
      <c r="F1552" s="41" t="s">
        <v>368</v>
      </c>
      <c r="G1552" s="41"/>
      <c r="H1552" s="163"/>
      <c r="I1552" s="66"/>
      <c r="J1552" s="452"/>
      <c r="K1552" s="453"/>
      <c r="L1552" s="454"/>
      <c r="M1552" s="454"/>
      <c r="N1552" s="454"/>
      <c r="O1552" s="454"/>
      <c r="P1552" s="454"/>
      <c r="Q1552" s="454"/>
      <c r="R1552" s="454"/>
      <c r="S1552" s="454"/>
      <c r="T1552" s="454"/>
      <c r="U1552" s="454"/>
      <c r="V1552" s="454"/>
      <c r="W1552" s="454"/>
      <c r="X1552" s="454"/>
      <c r="Y1552" s="454"/>
      <c r="Z1552" s="454"/>
      <c r="AA1552" s="454"/>
      <c r="AB1552" s="454"/>
      <c r="AC1552" s="454"/>
      <c r="AD1552" s="454"/>
      <c r="AE1552" s="454"/>
      <c r="AF1552" s="454"/>
      <c r="AG1552" s="454"/>
      <c r="AH1552" s="454"/>
      <c r="AI1552" s="454"/>
      <c r="AJ1552" s="769"/>
    </row>
    <row r="1553" spans="1:36" ht="12.5" customHeight="1">
      <c r="A1553" s="40"/>
      <c r="B1553" s="40">
        <v>1</v>
      </c>
      <c r="C1553" s="124"/>
      <c r="D1553" s="124"/>
      <c r="E1553" s="124"/>
      <c r="F1553" s="41"/>
      <c r="G1553" s="41" t="s">
        <v>457</v>
      </c>
      <c r="H1553" s="163"/>
      <c r="I1553" s="125"/>
      <c r="J1553" s="524"/>
      <c r="K1553" s="453"/>
      <c r="L1553" s="526"/>
      <c r="M1553" s="526"/>
      <c r="N1553" s="526"/>
      <c r="O1553" s="526"/>
      <c r="P1553" s="526"/>
      <c r="Q1553" s="526"/>
      <c r="R1553" s="526"/>
      <c r="S1553" s="526"/>
      <c r="T1553" s="526"/>
      <c r="U1553" s="526"/>
      <c r="V1553" s="526"/>
      <c r="W1553" s="526"/>
      <c r="X1553" s="526"/>
      <c r="Y1553" s="526"/>
      <c r="Z1553" s="526"/>
      <c r="AA1553" s="526"/>
      <c r="AB1553" s="526"/>
      <c r="AC1553" s="526"/>
      <c r="AD1553" s="526"/>
      <c r="AE1553" s="526"/>
      <c r="AF1553" s="526"/>
      <c r="AG1553" s="526"/>
      <c r="AH1553" s="526"/>
      <c r="AI1553" s="526"/>
      <c r="AJ1553" s="779"/>
    </row>
    <row r="1554" spans="1:36" ht="12.5" customHeight="1">
      <c r="A1554" s="40"/>
      <c r="B1554" s="40"/>
      <c r="C1554" s="124">
        <v>1</v>
      </c>
      <c r="D1554" s="124"/>
      <c r="E1554" s="124"/>
      <c r="F1554" s="41"/>
      <c r="G1554" s="41"/>
      <c r="H1554" s="66" t="s">
        <v>35</v>
      </c>
      <c r="I1554" s="41"/>
      <c r="J1554" s="524"/>
      <c r="K1554" s="453"/>
      <c r="L1554" s="526"/>
      <c r="M1554" s="526"/>
      <c r="N1554" s="526"/>
      <c r="O1554" s="526"/>
      <c r="P1554" s="526"/>
      <c r="Q1554" s="526"/>
      <c r="R1554" s="526"/>
      <c r="S1554" s="526"/>
      <c r="T1554" s="526"/>
      <c r="U1554" s="526"/>
      <c r="V1554" s="526"/>
      <c r="W1554" s="526"/>
      <c r="X1554" s="526"/>
      <c r="Y1554" s="526"/>
      <c r="Z1554" s="526"/>
      <c r="AA1554" s="526"/>
      <c r="AB1554" s="526"/>
      <c r="AC1554" s="526"/>
      <c r="AD1554" s="526"/>
      <c r="AE1554" s="526"/>
      <c r="AF1554" s="526"/>
      <c r="AG1554" s="526"/>
      <c r="AH1554" s="526"/>
      <c r="AI1554" s="526"/>
      <c r="AJ1554" s="779"/>
    </row>
    <row r="1555" spans="1:36" ht="12.5" customHeight="1">
      <c r="A1555" s="40"/>
      <c r="B1555" s="40"/>
      <c r="C1555" s="124"/>
      <c r="D1555" s="124">
        <v>1</v>
      </c>
      <c r="E1555" s="124" t="s">
        <v>199</v>
      </c>
      <c r="F1555" s="41"/>
      <c r="G1555" s="41"/>
      <c r="H1555" s="125"/>
      <c r="I1555" s="66" t="s">
        <v>180</v>
      </c>
      <c r="J1555" s="524">
        <v>2063000</v>
      </c>
      <c r="K1555" s="453"/>
      <c r="L1555" s="526">
        <f>SUM(J1555:K1555)</f>
        <v>2063000</v>
      </c>
      <c r="M1555" s="526"/>
      <c r="N1555" s="526"/>
      <c r="O1555" s="526"/>
      <c r="P1555" s="526"/>
      <c r="Q1555" s="526"/>
      <c r="R1555" s="526"/>
      <c r="S1555" s="217">
        <f t="shared" ref="S1555:S1559" si="1801">SUM(M1555:R1555)</f>
        <v>0</v>
      </c>
      <c r="T1555" s="217">
        <f t="shared" ref="T1555:T1559" si="1802">S1555+L1555</f>
        <v>2063000</v>
      </c>
      <c r="U1555" s="526"/>
      <c r="V1555" s="526"/>
      <c r="W1555" s="526"/>
      <c r="X1555" s="526"/>
      <c r="Y1555" s="526"/>
      <c r="Z1555" s="217">
        <f>SUM(U1555:Y1555)</f>
        <v>0</v>
      </c>
      <c r="AA1555" s="217">
        <f>Z1555+T1555</f>
        <v>2063000</v>
      </c>
      <c r="AB1555" s="526"/>
      <c r="AC1555" s="526"/>
      <c r="AD1555" s="526"/>
      <c r="AE1555" s="526"/>
      <c r="AF1555" s="526"/>
      <c r="AG1555" s="217">
        <f t="shared" ref="AG1555:AG1557" si="1803">SUM(AB1555:AF1555)</f>
        <v>0</v>
      </c>
      <c r="AH1555" s="217">
        <f t="shared" ref="AH1555:AH1557" si="1804">AG1555+AA1555</f>
        <v>2063000</v>
      </c>
      <c r="AI1555" s="217"/>
      <c r="AJ1555" s="764"/>
    </row>
    <row r="1556" spans="1:36" ht="12.5" customHeight="1">
      <c r="A1556" s="40"/>
      <c r="B1556" s="40"/>
      <c r="C1556" s="124"/>
      <c r="D1556" s="124">
        <v>2</v>
      </c>
      <c r="E1556" s="124" t="s">
        <v>199</v>
      </c>
      <c r="F1556" s="41"/>
      <c r="G1556" s="41"/>
      <c r="H1556" s="125"/>
      <c r="I1556" s="66" t="s">
        <v>182</v>
      </c>
      <c r="J1556" s="524">
        <v>454000</v>
      </c>
      <c r="K1556" s="453"/>
      <c r="L1556" s="526">
        <f>SUM(J1556:K1556)</f>
        <v>454000</v>
      </c>
      <c r="M1556" s="526"/>
      <c r="N1556" s="526"/>
      <c r="O1556" s="526"/>
      <c r="P1556" s="526"/>
      <c r="Q1556" s="526"/>
      <c r="R1556" s="526"/>
      <c r="S1556" s="217">
        <f t="shared" si="1801"/>
        <v>0</v>
      </c>
      <c r="T1556" s="217">
        <f t="shared" si="1802"/>
        <v>454000</v>
      </c>
      <c r="U1556" s="526"/>
      <c r="V1556" s="526"/>
      <c r="W1556" s="526"/>
      <c r="X1556" s="526"/>
      <c r="Y1556" s="526"/>
      <c r="Z1556" s="217">
        <f>SUM(U1556:Y1556)</f>
        <v>0</v>
      </c>
      <c r="AA1556" s="217">
        <f>Z1556+T1556</f>
        <v>454000</v>
      </c>
      <c r="AB1556" s="526"/>
      <c r="AC1556" s="526"/>
      <c r="AD1556" s="526"/>
      <c r="AE1556" s="526"/>
      <c r="AF1556" s="526"/>
      <c r="AG1556" s="217">
        <f t="shared" si="1803"/>
        <v>0</v>
      </c>
      <c r="AH1556" s="217">
        <f t="shared" si="1804"/>
        <v>454000</v>
      </c>
      <c r="AI1556" s="217"/>
      <c r="AJ1556" s="764"/>
    </row>
    <row r="1557" spans="1:36" ht="12.5" customHeight="1">
      <c r="A1557" s="40"/>
      <c r="B1557" s="40"/>
      <c r="C1557" s="124"/>
      <c r="D1557" s="124">
        <v>3</v>
      </c>
      <c r="E1557" s="124" t="s">
        <v>199</v>
      </c>
      <c r="F1557" s="41"/>
      <c r="G1557" s="41"/>
      <c r="H1557" s="163"/>
      <c r="I1557" s="125" t="s">
        <v>116</v>
      </c>
      <c r="J1557" s="524">
        <v>81563920</v>
      </c>
      <c r="K1557" s="453"/>
      <c r="L1557" s="526">
        <f>SUM(J1557:K1557)</f>
        <v>81563920</v>
      </c>
      <c r="M1557" s="526"/>
      <c r="N1557" s="526"/>
      <c r="O1557" s="526"/>
      <c r="P1557" s="526"/>
      <c r="Q1557" s="526"/>
      <c r="R1557" s="526"/>
      <c r="S1557" s="217">
        <f t="shared" si="1801"/>
        <v>0</v>
      </c>
      <c r="T1557" s="217">
        <f t="shared" si="1802"/>
        <v>81563920</v>
      </c>
      <c r="U1557" s="526"/>
      <c r="V1557" s="526"/>
      <c r="W1557" s="526"/>
      <c r="X1557" s="526"/>
      <c r="Y1557" s="526"/>
      <c r="Z1557" s="217">
        <f>SUM(U1557:Y1557)</f>
        <v>0</v>
      </c>
      <c r="AA1557" s="217">
        <f>Z1557+T1557</f>
        <v>81563920</v>
      </c>
      <c r="AB1557" s="526"/>
      <c r="AC1557" s="526"/>
      <c r="AD1557" s="526"/>
      <c r="AE1557" s="526"/>
      <c r="AF1557" s="526"/>
      <c r="AG1557" s="217">
        <f t="shared" si="1803"/>
        <v>0</v>
      </c>
      <c r="AH1557" s="217">
        <f t="shared" si="1804"/>
        <v>81563920</v>
      </c>
      <c r="AI1557" s="217">
        <v>54342841</v>
      </c>
      <c r="AJ1557" s="764">
        <f t="shared" ref="AJ1557" si="1805">AI1557/AH1557*100</f>
        <v>66.626078050196696</v>
      </c>
    </row>
    <row r="1558" spans="1:36" ht="12.5" customHeight="1">
      <c r="A1558" s="40"/>
      <c r="B1558" s="40"/>
      <c r="C1558" s="124">
        <v>2</v>
      </c>
      <c r="D1558" s="124"/>
      <c r="E1558" s="124"/>
      <c r="F1558" s="41"/>
      <c r="G1558" s="41"/>
      <c r="H1558" s="162" t="s">
        <v>211</v>
      </c>
      <c r="I1558" s="66"/>
      <c r="J1558" s="524"/>
      <c r="K1558" s="525"/>
      <c r="L1558" s="526"/>
      <c r="M1558" s="526"/>
      <c r="N1558" s="526"/>
      <c r="O1558" s="526"/>
      <c r="P1558" s="526"/>
      <c r="Q1558" s="526"/>
      <c r="R1558" s="526"/>
      <c r="S1558" s="217"/>
      <c r="T1558" s="217"/>
      <c r="U1558" s="526"/>
      <c r="V1558" s="526"/>
      <c r="W1558" s="526"/>
      <c r="X1558" s="526"/>
      <c r="Y1558" s="526"/>
      <c r="Z1558" s="217"/>
      <c r="AA1558" s="217"/>
      <c r="AB1558" s="526"/>
      <c r="AC1558" s="526"/>
      <c r="AD1558" s="526"/>
      <c r="AE1558" s="526"/>
      <c r="AF1558" s="526"/>
      <c r="AG1558" s="217"/>
      <c r="AH1558" s="217"/>
      <c r="AI1558" s="217"/>
      <c r="AJ1558" s="764"/>
    </row>
    <row r="1559" spans="1:36" ht="12.5" customHeight="1">
      <c r="A1559" s="40"/>
      <c r="B1559" s="40"/>
      <c r="C1559" s="124"/>
      <c r="D1559" s="124">
        <v>6</v>
      </c>
      <c r="E1559" s="124" t="s">
        <v>199</v>
      </c>
      <c r="F1559" s="41"/>
      <c r="G1559" s="41"/>
      <c r="H1559" s="66"/>
      <c r="I1559" s="125" t="s">
        <v>213</v>
      </c>
      <c r="J1559" s="524"/>
      <c r="K1559" s="525">
        <v>96115000</v>
      </c>
      <c r="L1559" s="526">
        <f>SUM(J1559:K1559)</f>
        <v>96115000</v>
      </c>
      <c r="M1559" s="526"/>
      <c r="N1559" s="526"/>
      <c r="O1559" s="526"/>
      <c r="P1559" s="526"/>
      <c r="Q1559" s="526"/>
      <c r="R1559" s="526"/>
      <c r="S1559" s="217">
        <f t="shared" si="1801"/>
        <v>0</v>
      </c>
      <c r="T1559" s="217">
        <f t="shared" si="1802"/>
        <v>96115000</v>
      </c>
      <c r="U1559" s="526"/>
      <c r="V1559" s="526"/>
      <c r="W1559" s="526"/>
      <c r="X1559" s="526"/>
      <c r="Y1559" s="526"/>
      <c r="Z1559" s="217">
        <f>SUM(U1559:Y1559)</f>
        <v>0</v>
      </c>
      <c r="AA1559" s="217">
        <f>Z1559+T1559</f>
        <v>96115000</v>
      </c>
      <c r="AB1559" s="526"/>
      <c r="AC1559" s="526"/>
      <c r="AD1559" s="526"/>
      <c r="AE1559" s="526"/>
      <c r="AF1559" s="526"/>
      <c r="AG1559" s="217">
        <f t="shared" ref="AG1559" si="1806">SUM(AB1559:AF1559)</f>
        <v>0</v>
      </c>
      <c r="AH1559" s="217">
        <f t="shared" ref="AH1559" si="1807">AG1559+AA1559</f>
        <v>96115000</v>
      </c>
      <c r="AI1559" s="217"/>
      <c r="AJ1559" s="764"/>
    </row>
    <row r="1560" spans="1:36" ht="12.5" customHeight="1">
      <c r="A1560" s="40"/>
      <c r="B1560" s="40"/>
      <c r="C1560" s="124"/>
      <c r="D1560" s="124"/>
      <c r="E1560" s="124"/>
      <c r="F1560" s="41"/>
      <c r="G1560" s="41"/>
      <c r="H1560" s="66"/>
      <c r="I1560" s="125"/>
      <c r="J1560" s="524"/>
      <c r="K1560" s="525"/>
      <c r="L1560" s="526"/>
      <c r="M1560" s="526"/>
      <c r="N1560" s="526"/>
      <c r="O1560" s="526"/>
      <c r="P1560" s="526"/>
      <c r="Q1560" s="526"/>
      <c r="R1560" s="526"/>
      <c r="S1560" s="526"/>
      <c r="T1560" s="526"/>
      <c r="U1560" s="526"/>
      <c r="V1560" s="526"/>
      <c r="W1560" s="526"/>
      <c r="X1560" s="526"/>
      <c r="Y1560" s="526"/>
      <c r="Z1560" s="526"/>
      <c r="AA1560" s="526"/>
      <c r="AB1560" s="526"/>
      <c r="AC1560" s="526"/>
      <c r="AD1560" s="526"/>
      <c r="AE1560" s="526"/>
      <c r="AF1560" s="526"/>
      <c r="AG1560" s="526"/>
      <c r="AH1560" s="526"/>
      <c r="AI1560" s="526"/>
      <c r="AJ1560" s="779"/>
    </row>
    <row r="1561" spans="1:36" ht="12.5" customHeight="1">
      <c r="A1561" s="40"/>
      <c r="B1561" s="40"/>
      <c r="C1561" s="124"/>
      <c r="D1561" s="124"/>
      <c r="E1561" s="124"/>
      <c r="F1561" s="64"/>
      <c r="G1561" s="64"/>
      <c r="H1561" s="65"/>
      <c r="I1561" s="64" t="s">
        <v>38</v>
      </c>
      <c r="J1561" s="333">
        <f>SUM(J1555:J1560)</f>
        <v>84080920</v>
      </c>
      <c r="K1561" s="457">
        <f>SUM(K1559:K1560)</f>
        <v>96115000</v>
      </c>
      <c r="L1561" s="458">
        <f>SUM(L1555:L1560)</f>
        <v>180195920</v>
      </c>
      <c r="M1561" s="458">
        <f t="shared" ref="M1561:T1561" si="1808">SUM(M1555:M1560)</f>
        <v>0</v>
      </c>
      <c r="N1561" s="458">
        <f t="shared" si="1808"/>
        <v>0</v>
      </c>
      <c r="O1561" s="458">
        <f t="shared" si="1808"/>
        <v>0</v>
      </c>
      <c r="P1561" s="458">
        <f t="shared" si="1808"/>
        <v>0</v>
      </c>
      <c r="Q1561" s="458">
        <f t="shared" si="1808"/>
        <v>0</v>
      </c>
      <c r="R1561" s="458">
        <f t="shared" si="1808"/>
        <v>0</v>
      </c>
      <c r="S1561" s="458">
        <f t="shared" si="1808"/>
        <v>0</v>
      </c>
      <c r="T1561" s="458">
        <f t="shared" si="1808"/>
        <v>180195920</v>
      </c>
      <c r="U1561" s="458"/>
      <c r="V1561" s="458"/>
      <c r="W1561" s="458"/>
      <c r="X1561" s="458"/>
      <c r="Y1561" s="458"/>
      <c r="Z1561" s="458">
        <f t="shared" ref="Z1561:AA1561" si="1809">SUM(Z1555:Z1560)</f>
        <v>0</v>
      </c>
      <c r="AA1561" s="458">
        <f t="shared" si="1809"/>
        <v>180195920</v>
      </c>
      <c r="AB1561" s="458"/>
      <c r="AC1561" s="458"/>
      <c r="AD1561" s="458"/>
      <c r="AE1561" s="458"/>
      <c r="AF1561" s="458"/>
      <c r="AG1561" s="458">
        <f t="shared" ref="AG1561:AI1561" si="1810">SUM(AG1555:AG1560)</f>
        <v>0</v>
      </c>
      <c r="AH1561" s="458">
        <f t="shared" si="1810"/>
        <v>180195920</v>
      </c>
      <c r="AI1561" s="458">
        <f t="shared" si="1810"/>
        <v>54342841</v>
      </c>
      <c r="AJ1561" s="770">
        <f>AI1561/AH1561*100</f>
        <v>30.157642303998895</v>
      </c>
    </row>
    <row r="1562" spans="1:36" ht="12.5" customHeight="1">
      <c r="A1562" s="40"/>
      <c r="B1562" s="40"/>
      <c r="C1562" s="124"/>
      <c r="D1562" s="124"/>
      <c r="E1562" s="124"/>
      <c r="F1562" s="41"/>
      <c r="G1562" s="41"/>
      <c r="H1562" s="66"/>
      <c r="I1562" s="125"/>
      <c r="J1562" s="524"/>
      <c r="K1562" s="525"/>
      <c r="L1562" s="526"/>
      <c r="M1562" s="526"/>
      <c r="N1562" s="526"/>
      <c r="O1562" s="526"/>
      <c r="P1562" s="526"/>
      <c r="Q1562" s="526"/>
      <c r="R1562" s="526"/>
      <c r="S1562" s="526"/>
      <c r="T1562" s="526"/>
      <c r="U1562" s="526"/>
      <c r="V1562" s="526"/>
      <c r="W1562" s="526"/>
      <c r="X1562" s="526"/>
      <c r="Y1562" s="526"/>
      <c r="Z1562" s="526"/>
      <c r="AA1562" s="526"/>
      <c r="AB1562" s="526"/>
      <c r="AC1562" s="526"/>
      <c r="AD1562" s="526"/>
      <c r="AE1562" s="526"/>
      <c r="AF1562" s="526"/>
      <c r="AG1562" s="526"/>
      <c r="AH1562" s="526"/>
      <c r="AI1562" s="526"/>
      <c r="AJ1562" s="779"/>
    </row>
    <row r="1563" spans="1:36" ht="12.5" customHeight="1">
      <c r="A1563" s="40"/>
      <c r="B1563" s="40">
        <v>2</v>
      </c>
      <c r="C1563" s="124"/>
      <c r="D1563" s="124"/>
      <c r="E1563" s="124"/>
      <c r="F1563" s="41"/>
      <c r="G1563" s="41" t="s">
        <v>411</v>
      </c>
      <c r="H1563" s="163"/>
      <c r="I1563" s="125"/>
      <c r="J1563" s="524"/>
      <c r="K1563" s="453"/>
      <c r="L1563" s="526"/>
      <c r="M1563" s="526"/>
      <c r="N1563" s="526"/>
      <c r="O1563" s="526"/>
      <c r="P1563" s="526"/>
      <c r="Q1563" s="526"/>
      <c r="R1563" s="526"/>
      <c r="S1563" s="526"/>
      <c r="T1563" s="526"/>
      <c r="U1563" s="526"/>
      <c r="V1563" s="526"/>
      <c r="W1563" s="526"/>
      <c r="X1563" s="526"/>
      <c r="Y1563" s="526"/>
      <c r="Z1563" s="526"/>
      <c r="AA1563" s="526"/>
      <c r="AB1563" s="526"/>
      <c r="AC1563" s="526"/>
      <c r="AD1563" s="526"/>
      <c r="AE1563" s="526"/>
      <c r="AF1563" s="526"/>
      <c r="AG1563" s="526"/>
      <c r="AH1563" s="526"/>
      <c r="AI1563" s="526"/>
      <c r="AJ1563" s="779"/>
    </row>
    <row r="1564" spans="1:36" ht="12.5" customHeight="1">
      <c r="A1564" s="40"/>
      <c r="B1564" s="40"/>
      <c r="C1564" s="124">
        <v>1</v>
      </c>
      <c r="D1564" s="124"/>
      <c r="E1564" s="124"/>
      <c r="F1564" s="41"/>
      <c r="G1564" s="41"/>
      <c r="H1564" s="125" t="s">
        <v>35</v>
      </c>
      <c r="I1564" s="66"/>
      <c r="J1564" s="524"/>
      <c r="K1564" s="453"/>
      <c r="L1564" s="526"/>
      <c r="M1564" s="526"/>
      <c r="N1564" s="526"/>
      <c r="O1564" s="526"/>
      <c r="P1564" s="526"/>
      <c r="Q1564" s="526"/>
      <c r="R1564" s="526"/>
      <c r="S1564" s="526"/>
      <c r="T1564" s="526"/>
      <c r="U1564" s="526"/>
      <c r="V1564" s="526"/>
      <c r="W1564" s="526"/>
      <c r="X1564" s="526"/>
      <c r="Y1564" s="526"/>
      <c r="Z1564" s="526"/>
      <c r="AA1564" s="526"/>
      <c r="AB1564" s="526"/>
      <c r="AC1564" s="526"/>
      <c r="AD1564" s="526"/>
      <c r="AE1564" s="526"/>
      <c r="AF1564" s="526"/>
      <c r="AG1564" s="526"/>
      <c r="AH1564" s="526"/>
      <c r="AI1564" s="526"/>
      <c r="AJ1564" s="779"/>
    </row>
    <row r="1565" spans="1:36" ht="12.5" customHeight="1">
      <c r="A1565" s="40"/>
      <c r="B1565" s="40"/>
      <c r="C1565" s="124"/>
      <c r="D1565" s="124">
        <v>3</v>
      </c>
      <c r="E1565" s="124" t="s">
        <v>199</v>
      </c>
      <c r="F1565" s="41"/>
      <c r="G1565" s="41"/>
      <c r="H1565" s="163"/>
      <c r="I1565" s="125" t="s">
        <v>116</v>
      </c>
      <c r="J1565" s="524">
        <v>856013268</v>
      </c>
      <c r="K1565" s="453"/>
      <c r="L1565" s="526">
        <f>J1565+K1565</f>
        <v>856013268</v>
      </c>
      <c r="M1565" s="526"/>
      <c r="N1565" s="526"/>
      <c r="O1565" s="526"/>
      <c r="P1565" s="526"/>
      <c r="Q1565" s="526">
        <v>-4027000</v>
      </c>
      <c r="R1565" s="526"/>
      <c r="S1565" s="217">
        <f t="shared" ref="S1565:S1567" si="1811">SUM(M1565:R1565)</f>
        <v>-4027000</v>
      </c>
      <c r="T1565" s="217">
        <f t="shared" ref="T1565:T1567" si="1812">S1565+L1565</f>
        <v>851986268</v>
      </c>
      <c r="U1565" s="526"/>
      <c r="V1565" s="526"/>
      <c r="W1565" s="526"/>
      <c r="X1565" s="526"/>
      <c r="Y1565" s="526"/>
      <c r="Z1565" s="217">
        <f>SUM(U1565:Y1565)</f>
        <v>0</v>
      </c>
      <c r="AA1565" s="217">
        <f>Z1565+T1565</f>
        <v>851986268</v>
      </c>
      <c r="AB1565" s="526"/>
      <c r="AC1565" s="526">
        <v>-646300000</v>
      </c>
      <c r="AD1565" s="526"/>
      <c r="AE1565" s="526"/>
      <c r="AF1565" s="526"/>
      <c r="AG1565" s="217">
        <f t="shared" ref="AG1565" si="1813">SUM(AB1565:AF1565)</f>
        <v>-646300000</v>
      </c>
      <c r="AH1565" s="217">
        <f t="shared" ref="AH1565" si="1814">AG1565+AA1565</f>
        <v>205686268</v>
      </c>
      <c r="AI1565" s="217">
        <v>34510650</v>
      </c>
      <c r="AJ1565" s="764">
        <f>AI1565/AH1565*100</f>
        <v>16.778295573917458</v>
      </c>
    </row>
    <row r="1566" spans="1:36" ht="12.5" customHeight="1">
      <c r="A1566" s="40"/>
      <c r="B1566" s="40"/>
      <c r="C1566" s="124">
        <v>2</v>
      </c>
      <c r="D1566" s="124"/>
      <c r="E1566" s="124"/>
      <c r="F1566" s="41"/>
      <c r="G1566" s="41"/>
      <c r="H1566" s="162" t="s">
        <v>211</v>
      </c>
      <c r="I1566" s="66"/>
      <c r="J1566" s="524"/>
      <c r="K1566" s="525"/>
      <c r="L1566" s="526"/>
      <c r="M1566" s="526"/>
      <c r="N1566" s="526"/>
      <c r="O1566" s="526"/>
      <c r="P1566" s="526"/>
      <c r="Q1566" s="526"/>
      <c r="R1566" s="526"/>
      <c r="S1566" s="217"/>
      <c r="T1566" s="217"/>
      <c r="U1566" s="526"/>
      <c r="V1566" s="526"/>
      <c r="W1566" s="526"/>
      <c r="X1566" s="526"/>
      <c r="Y1566" s="526"/>
      <c r="Z1566" s="217"/>
      <c r="AA1566" s="217"/>
      <c r="AB1566" s="526"/>
      <c r="AC1566" s="526"/>
      <c r="AD1566" s="526"/>
      <c r="AE1566" s="526"/>
      <c r="AF1566" s="526"/>
      <c r="AG1566" s="217"/>
      <c r="AH1566" s="217"/>
      <c r="AI1566" s="217"/>
      <c r="AJ1566" s="764"/>
    </row>
    <row r="1567" spans="1:36" ht="12.5" customHeight="1">
      <c r="A1567" s="40"/>
      <c r="B1567" s="40"/>
      <c r="C1567" s="124"/>
      <c r="D1567" s="124">
        <v>6</v>
      </c>
      <c r="E1567" s="124" t="s">
        <v>199</v>
      </c>
      <c r="F1567" s="41"/>
      <c r="G1567" s="41"/>
      <c r="H1567" s="66"/>
      <c r="I1567" s="125" t="s">
        <v>213</v>
      </c>
      <c r="J1567" s="524"/>
      <c r="K1567" s="525">
        <v>3579273457</v>
      </c>
      <c r="L1567" s="526">
        <f>SUM(J1567:K1567)</f>
        <v>3579273457</v>
      </c>
      <c r="M1567" s="526"/>
      <c r="N1567" s="526"/>
      <c r="O1567" s="526"/>
      <c r="P1567" s="526"/>
      <c r="Q1567" s="526">
        <v>-92000</v>
      </c>
      <c r="R1567" s="526"/>
      <c r="S1567" s="217">
        <f t="shared" si="1811"/>
        <v>-92000</v>
      </c>
      <c r="T1567" s="217">
        <f t="shared" si="1812"/>
        <v>3579181457</v>
      </c>
      <c r="U1567" s="526"/>
      <c r="V1567" s="526"/>
      <c r="W1567" s="526"/>
      <c r="X1567" s="526"/>
      <c r="Y1567" s="526"/>
      <c r="Z1567" s="217">
        <f>SUM(U1567:Y1567)</f>
        <v>0</v>
      </c>
      <c r="AA1567" s="217">
        <f>Z1567+T1567</f>
        <v>3579181457</v>
      </c>
      <c r="AB1567" s="526"/>
      <c r="AC1567" s="526">
        <v>-2393700000</v>
      </c>
      <c r="AD1567" s="526"/>
      <c r="AE1567" s="526">
        <v>20173515</v>
      </c>
      <c r="AF1567" s="526"/>
      <c r="AG1567" s="217">
        <f t="shared" ref="AG1567" si="1815">SUM(AB1567:AF1567)</f>
        <v>-2373526485</v>
      </c>
      <c r="AH1567" s="217">
        <f t="shared" ref="AH1567" si="1816">AG1567+AA1567</f>
        <v>1205654972</v>
      </c>
      <c r="AI1567" s="217">
        <v>271038821</v>
      </c>
      <c r="AJ1567" s="764">
        <f>AI1567/AH1567*100</f>
        <v>22.48062897715981</v>
      </c>
    </row>
    <row r="1568" spans="1:36" ht="12.5" customHeight="1">
      <c r="A1568" s="40"/>
      <c r="B1568" s="40"/>
      <c r="C1568" s="124"/>
      <c r="D1568" s="124"/>
      <c r="E1568" s="124"/>
      <c r="F1568" s="41"/>
      <c r="G1568" s="41"/>
      <c r="H1568" s="66"/>
      <c r="I1568" s="125"/>
      <c r="J1568" s="524"/>
      <c r="K1568" s="525"/>
      <c r="L1568" s="526"/>
      <c r="M1568" s="526"/>
      <c r="N1568" s="526"/>
      <c r="O1568" s="526"/>
      <c r="P1568" s="526"/>
      <c r="Q1568" s="526"/>
      <c r="R1568" s="526"/>
      <c r="S1568" s="526"/>
      <c r="T1568" s="526"/>
      <c r="U1568" s="526"/>
      <c r="V1568" s="526"/>
      <c r="W1568" s="526"/>
      <c r="X1568" s="526"/>
      <c r="Y1568" s="526"/>
      <c r="Z1568" s="526"/>
      <c r="AA1568" s="526"/>
      <c r="AB1568" s="526"/>
      <c r="AC1568" s="526"/>
      <c r="AD1568" s="526"/>
      <c r="AE1568" s="526"/>
      <c r="AF1568" s="526"/>
      <c r="AG1568" s="526"/>
      <c r="AH1568" s="526"/>
      <c r="AI1568" s="526"/>
      <c r="AJ1568" s="779"/>
    </row>
    <row r="1569" spans="1:36" ht="12.5" customHeight="1">
      <c r="A1569" s="40"/>
      <c r="B1569" s="40"/>
      <c r="C1569" s="124"/>
      <c r="D1569" s="124"/>
      <c r="E1569" s="124"/>
      <c r="F1569" s="64"/>
      <c r="G1569" s="64"/>
      <c r="H1569" s="65"/>
      <c r="I1569" s="64" t="s">
        <v>38</v>
      </c>
      <c r="J1569" s="333">
        <f>SUM(J1565:J1568)</f>
        <v>856013268</v>
      </c>
      <c r="K1569" s="457">
        <f>SUM(K1565:K1568)</f>
        <v>3579273457</v>
      </c>
      <c r="L1569" s="458">
        <f>SUM(L1565:L1568)</f>
        <v>4435286725</v>
      </c>
      <c r="M1569" s="458">
        <f t="shared" ref="M1569:T1569" si="1817">SUM(M1565:M1568)</f>
        <v>0</v>
      </c>
      <c r="N1569" s="458">
        <f t="shared" si="1817"/>
        <v>0</v>
      </c>
      <c r="O1569" s="458">
        <f t="shared" si="1817"/>
        <v>0</v>
      </c>
      <c r="P1569" s="458">
        <f t="shared" si="1817"/>
        <v>0</v>
      </c>
      <c r="Q1569" s="458">
        <f t="shared" si="1817"/>
        <v>-4119000</v>
      </c>
      <c r="R1569" s="458">
        <f t="shared" si="1817"/>
        <v>0</v>
      </c>
      <c r="S1569" s="458">
        <f t="shared" si="1817"/>
        <v>-4119000</v>
      </c>
      <c r="T1569" s="458">
        <f t="shared" si="1817"/>
        <v>4431167725</v>
      </c>
      <c r="U1569" s="458"/>
      <c r="V1569" s="458"/>
      <c r="W1569" s="458"/>
      <c r="X1569" s="458"/>
      <c r="Y1569" s="458"/>
      <c r="Z1569" s="458">
        <f t="shared" ref="Z1569:AA1569" si="1818">SUM(Z1565:Z1568)</f>
        <v>0</v>
      </c>
      <c r="AA1569" s="458">
        <f t="shared" si="1818"/>
        <v>4431167725</v>
      </c>
      <c r="AB1569" s="458"/>
      <c r="AC1569" s="458">
        <f t="shared" ref="AC1569:AE1569" si="1819">SUM(AC1565:AC1568)</f>
        <v>-3040000000</v>
      </c>
      <c r="AD1569" s="458"/>
      <c r="AE1569" s="458">
        <f t="shared" si="1819"/>
        <v>20173515</v>
      </c>
      <c r="AF1569" s="458"/>
      <c r="AG1569" s="458">
        <f t="shared" ref="AG1569:AI1569" si="1820">SUM(AG1565:AG1568)</f>
        <v>-3019826485</v>
      </c>
      <c r="AH1569" s="458">
        <f t="shared" si="1820"/>
        <v>1411341240</v>
      </c>
      <c r="AI1569" s="458">
        <f t="shared" si="1820"/>
        <v>305549471</v>
      </c>
      <c r="AJ1569" s="770">
        <f>AI1569/AH1569*100</f>
        <v>21.649581429364311</v>
      </c>
    </row>
    <row r="1570" spans="1:36" ht="12.5" customHeight="1">
      <c r="A1570" s="40"/>
      <c r="B1570" s="40"/>
      <c r="C1570" s="124"/>
      <c r="D1570" s="124"/>
      <c r="E1570" s="124"/>
      <c r="F1570" s="41"/>
      <c r="G1570" s="41"/>
      <c r="H1570" s="66"/>
      <c r="I1570" s="125"/>
      <c r="J1570" s="524"/>
      <c r="K1570" s="525"/>
      <c r="L1570" s="526"/>
      <c r="M1570" s="526"/>
      <c r="N1570" s="526"/>
      <c r="O1570" s="526"/>
      <c r="P1570" s="526"/>
      <c r="Q1570" s="526"/>
      <c r="R1570" s="526"/>
      <c r="S1570" s="526"/>
      <c r="T1570" s="526"/>
      <c r="U1570" s="526"/>
      <c r="V1570" s="526"/>
      <c r="W1570" s="526"/>
      <c r="X1570" s="526"/>
      <c r="Y1570" s="526"/>
      <c r="Z1570" s="526"/>
      <c r="AA1570" s="526"/>
      <c r="AB1570" s="526"/>
      <c r="AC1570" s="526"/>
      <c r="AD1570" s="526"/>
      <c r="AE1570" s="526"/>
      <c r="AF1570" s="526"/>
      <c r="AG1570" s="526"/>
      <c r="AH1570" s="526"/>
      <c r="AI1570" s="526"/>
      <c r="AJ1570" s="779"/>
    </row>
    <row r="1571" spans="1:36" ht="12.5" customHeight="1">
      <c r="A1571" s="40"/>
      <c r="B1571" s="40">
        <v>3</v>
      </c>
      <c r="C1571" s="124"/>
      <c r="D1571" s="124"/>
      <c r="E1571" s="124"/>
      <c r="F1571" s="41"/>
      <c r="G1571" s="41" t="s">
        <v>394</v>
      </c>
      <c r="H1571" s="163"/>
      <c r="I1571" s="125"/>
      <c r="J1571" s="524"/>
      <c r="K1571" s="453"/>
      <c r="L1571" s="526"/>
      <c r="M1571" s="526"/>
      <c r="N1571" s="526"/>
      <c r="O1571" s="526"/>
      <c r="P1571" s="526"/>
      <c r="Q1571" s="526"/>
      <c r="R1571" s="526"/>
      <c r="S1571" s="526"/>
      <c r="T1571" s="526"/>
      <c r="U1571" s="526"/>
      <c r="V1571" s="526"/>
      <c r="W1571" s="526"/>
      <c r="X1571" s="526"/>
      <c r="Y1571" s="526"/>
      <c r="Z1571" s="526"/>
      <c r="AA1571" s="526"/>
      <c r="AB1571" s="526"/>
      <c r="AC1571" s="526"/>
      <c r="AD1571" s="526"/>
      <c r="AE1571" s="526"/>
      <c r="AF1571" s="526"/>
      <c r="AG1571" s="526"/>
      <c r="AH1571" s="526"/>
      <c r="AI1571" s="526"/>
      <c r="AJ1571" s="779"/>
    </row>
    <row r="1572" spans="1:36" ht="12.5" customHeight="1">
      <c r="A1572" s="40"/>
      <c r="B1572" s="40"/>
      <c r="C1572" s="124">
        <v>1</v>
      </c>
      <c r="D1572" s="124"/>
      <c r="E1572" s="124"/>
      <c r="F1572" s="41"/>
      <c r="G1572" s="41"/>
      <c r="H1572" s="125" t="s">
        <v>35</v>
      </c>
      <c r="I1572" s="66"/>
      <c r="J1572" s="524"/>
      <c r="K1572" s="453"/>
      <c r="L1572" s="526"/>
      <c r="M1572" s="526"/>
      <c r="N1572" s="526"/>
      <c r="O1572" s="526"/>
      <c r="P1572" s="526"/>
      <c r="Q1572" s="526"/>
      <c r="R1572" s="526"/>
      <c r="S1572" s="526"/>
      <c r="T1572" s="526"/>
      <c r="U1572" s="526"/>
      <c r="V1572" s="526"/>
      <c r="W1572" s="526"/>
      <c r="X1572" s="526"/>
      <c r="Y1572" s="526"/>
      <c r="Z1572" s="526"/>
      <c r="AA1572" s="526"/>
      <c r="AB1572" s="526"/>
      <c r="AC1572" s="526"/>
      <c r="AD1572" s="526"/>
      <c r="AE1572" s="526"/>
      <c r="AF1572" s="526"/>
      <c r="AG1572" s="526"/>
      <c r="AH1572" s="526"/>
      <c r="AI1572" s="526"/>
      <c r="AJ1572" s="779"/>
    </row>
    <row r="1573" spans="1:36" ht="12.5" customHeight="1">
      <c r="A1573" s="40"/>
      <c r="B1573" s="40"/>
      <c r="C1573" s="124"/>
      <c r="D1573" s="124">
        <v>3</v>
      </c>
      <c r="E1573" s="124" t="s">
        <v>199</v>
      </c>
      <c r="F1573" s="41"/>
      <c r="G1573" s="41"/>
      <c r="H1573" s="163"/>
      <c r="I1573" s="125" t="s">
        <v>116</v>
      </c>
      <c r="J1573" s="524">
        <v>1043165118</v>
      </c>
      <c r="K1573" s="453"/>
      <c r="L1573" s="526">
        <f>J1573+K1573</f>
        <v>1043165118</v>
      </c>
      <c r="M1573" s="526"/>
      <c r="N1573" s="526"/>
      <c r="O1573" s="526"/>
      <c r="P1573" s="526"/>
      <c r="Q1573" s="526"/>
      <c r="R1573" s="526"/>
      <c r="S1573" s="217">
        <f t="shared" ref="S1573:S1575" si="1821">SUM(M1573:R1573)</f>
        <v>0</v>
      </c>
      <c r="T1573" s="217">
        <f t="shared" ref="T1573:T1575" si="1822">S1573+L1573</f>
        <v>1043165118</v>
      </c>
      <c r="U1573" s="526"/>
      <c r="V1573" s="526"/>
      <c r="W1573" s="526"/>
      <c r="X1573" s="526"/>
      <c r="Y1573" s="526"/>
      <c r="Z1573" s="217">
        <f>SUM(U1573:Y1573)</f>
        <v>0</v>
      </c>
      <c r="AA1573" s="217">
        <f>Z1573+T1573</f>
        <v>1043165118</v>
      </c>
      <c r="AB1573" s="526"/>
      <c r="AC1573" s="526"/>
      <c r="AD1573" s="526"/>
      <c r="AE1573" s="526"/>
      <c r="AF1573" s="526"/>
      <c r="AG1573" s="217">
        <f t="shared" ref="AG1573" si="1823">SUM(AB1573:AF1573)</f>
        <v>0</v>
      </c>
      <c r="AH1573" s="217">
        <f t="shared" ref="AH1573" si="1824">AG1573+AA1573</f>
        <v>1043165118</v>
      </c>
      <c r="AI1573" s="217">
        <v>1108600</v>
      </c>
      <c r="AJ1573" s="764">
        <f>AI1573/AH1573*100</f>
        <v>0.10627272527339243</v>
      </c>
    </row>
    <row r="1574" spans="1:36" ht="12.5" customHeight="1">
      <c r="A1574" s="40"/>
      <c r="B1574" s="40"/>
      <c r="C1574" s="124">
        <v>2</v>
      </c>
      <c r="D1574" s="124"/>
      <c r="E1574" s="124"/>
      <c r="F1574" s="41"/>
      <c r="G1574" s="41"/>
      <c r="H1574" s="162" t="s">
        <v>211</v>
      </c>
      <c r="I1574" s="66"/>
      <c r="J1574" s="524"/>
      <c r="K1574" s="525"/>
      <c r="L1574" s="526"/>
      <c r="M1574" s="526"/>
      <c r="N1574" s="526"/>
      <c r="O1574" s="526"/>
      <c r="P1574" s="526"/>
      <c r="Q1574" s="526"/>
      <c r="R1574" s="526"/>
      <c r="S1574" s="217"/>
      <c r="T1574" s="217"/>
      <c r="U1574" s="526"/>
      <c r="V1574" s="526"/>
      <c r="W1574" s="526"/>
      <c r="X1574" s="526"/>
      <c r="Y1574" s="526"/>
      <c r="Z1574" s="217"/>
      <c r="AA1574" s="217"/>
      <c r="AB1574" s="526"/>
      <c r="AC1574" s="526"/>
      <c r="AD1574" s="526"/>
      <c r="AE1574" s="526"/>
      <c r="AF1574" s="526"/>
      <c r="AG1574" s="217"/>
      <c r="AH1574" s="217"/>
      <c r="AI1574" s="217"/>
      <c r="AJ1574" s="764"/>
    </row>
    <row r="1575" spans="1:36" ht="12.5" customHeight="1">
      <c r="A1575" s="40"/>
      <c r="B1575" s="40"/>
      <c r="C1575" s="124"/>
      <c r="D1575" s="124">
        <v>6</v>
      </c>
      <c r="E1575" s="124" t="s">
        <v>199</v>
      </c>
      <c r="F1575" s="41"/>
      <c r="G1575" s="41"/>
      <c r="H1575" s="66"/>
      <c r="I1575" s="125" t="s">
        <v>213</v>
      </c>
      <c r="J1575" s="524"/>
      <c r="K1575" s="525">
        <v>4284589780</v>
      </c>
      <c r="L1575" s="526">
        <f>SUM(J1575:K1575)</f>
        <v>4284589780</v>
      </c>
      <c r="M1575" s="526"/>
      <c r="N1575" s="526"/>
      <c r="O1575" s="526"/>
      <c r="P1575" s="526"/>
      <c r="Q1575" s="526"/>
      <c r="R1575" s="526"/>
      <c r="S1575" s="217">
        <f t="shared" si="1821"/>
        <v>0</v>
      </c>
      <c r="T1575" s="217">
        <f t="shared" si="1822"/>
        <v>4284589780</v>
      </c>
      <c r="U1575" s="526"/>
      <c r="V1575" s="526"/>
      <c r="W1575" s="526"/>
      <c r="X1575" s="526"/>
      <c r="Y1575" s="526"/>
      <c r="Z1575" s="217">
        <f>SUM(U1575:Y1575)</f>
        <v>0</v>
      </c>
      <c r="AA1575" s="217">
        <f>Z1575+T1575</f>
        <v>4284589780</v>
      </c>
      <c r="AB1575" s="526"/>
      <c r="AC1575" s="526">
        <v>-2460000000</v>
      </c>
      <c r="AD1575" s="526"/>
      <c r="AE1575" s="526">
        <v>20075662</v>
      </c>
      <c r="AF1575" s="526"/>
      <c r="AG1575" s="217">
        <f t="shared" ref="AG1575" si="1825">SUM(AB1575:AF1575)</f>
        <v>-2439924338</v>
      </c>
      <c r="AH1575" s="217">
        <f t="shared" ref="AH1575" si="1826">AG1575+AA1575</f>
        <v>1844665442</v>
      </c>
      <c r="AI1575" s="217">
        <v>100493043</v>
      </c>
      <c r="AJ1575" s="764">
        <f>AI1575/AH1575*100</f>
        <v>5.4477652539012542</v>
      </c>
    </row>
    <row r="1576" spans="1:36" ht="12.5" customHeight="1">
      <c r="A1576" s="40"/>
      <c r="B1576" s="40"/>
      <c r="C1576" s="124"/>
      <c r="D1576" s="124"/>
      <c r="E1576" s="124"/>
      <c r="F1576" s="41"/>
      <c r="G1576" s="41"/>
      <c r="H1576" s="66"/>
      <c r="I1576" s="125"/>
      <c r="J1576" s="524"/>
      <c r="K1576" s="525"/>
      <c r="L1576" s="526"/>
      <c r="M1576" s="526"/>
      <c r="N1576" s="526"/>
      <c r="O1576" s="526"/>
      <c r="P1576" s="526"/>
      <c r="Q1576" s="526"/>
      <c r="R1576" s="526"/>
      <c r="S1576" s="526"/>
      <c r="T1576" s="526"/>
      <c r="U1576" s="526"/>
      <c r="V1576" s="526"/>
      <c r="W1576" s="526"/>
      <c r="X1576" s="526"/>
      <c r="Y1576" s="526"/>
      <c r="Z1576" s="526"/>
      <c r="AA1576" s="526"/>
      <c r="AB1576" s="526"/>
      <c r="AC1576" s="526"/>
      <c r="AD1576" s="526"/>
      <c r="AE1576" s="526"/>
      <c r="AF1576" s="526"/>
      <c r="AG1576" s="526"/>
      <c r="AH1576" s="526"/>
      <c r="AI1576" s="526"/>
      <c r="AJ1576" s="779"/>
    </row>
    <row r="1577" spans="1:36" ht="12.5" customHeight="1">
      <c r="A1577" s="40"/>
      <c r="B1577" s="40"/>
      <c r="C1577" s="124"/>
      <c r="D1577" s="124"/>
      <c r="E1577" s="124"/>
      <c r="F1577" s="64"/>
      <c r="G1577" s="64"/>
      <c r="H1577" s="65"/>
      <c r="I1577" s="64" t="s">
        <v>38</v>
      </c>
      <c r="J1577" s="333">
        <f>SUM(J1573:J1576)</f>
        <v>1043165118</v>
      </c>
      <c r="K1577" s="457">
        <f>SUM(K1573:K1576)</f>
        <v>4284589780</v>
      </c>
      <c r="L1577" s="458">
        <f>SUM(L1573:L1576)</f>
        <v>5327754898</v>
      </c>
      <c r="M1577" s="458">
        <f t="shared" ref="M1577:T1577" si="1827">SUM(M1573:M1576)</f>
        <v>0</v>
      </c>
      <c r="N1577" s="458">
        <f t="shared" si="1827"/>
        <v>0</v>
      </c>
      <c r="O1577" s="458">
        <f t="shared" si="1827"/>
        <v>0</v>
      </c>
      <c r="P1577" s="458">
        <f t="shared" si="1827"/>
        <v>0</v>
      </c>
      <c r="Q1577" s="458">
        <f t="shared" si="1827"/>
        <v>0</v>
      </c>
      <c r="R1577" s="458">
        <f t="shared" si="1827"/>
        <v>0</v>
      </c>
      <c r="S1577" s="458">
        <f t="shared" si="1827"/>
        <v>0</v>
      </c>
      <c r="T1577" s="458">
        <f t="shared" si="1827"/>
        <v>5327754898</v>
      </c>
      <c r="U1577" s="458"/>
      <c r="V1577" s="458"/>
      <c r="W1577" s="458"/>
      <c r="X1577" s="458"/>
      <c r="Y1577" s="458"/>
      <c r="Z1577" s="458">
        <f t="shared" ref="Z1577:AE1577" si="1828">SUM(Z1573:Z1576)</f>
        <v>0</v>
      </c>
      <c r="AA1577" s="458">
        <f t="shared" si="1828"/>
        <v>5327754898</v>
      </c>
      <c r="AB1577" s="458"/>
      <c r="AC1577" s="458">
        <f t="shared" si="1828"/>
        <v>-2460000000</v>
      </c>
      <c r="AD1577" s="458"/>
      <c r="AE1577" s="458">
        <f t="shared" si="1828"/>
        <v>20075662</v>
      </c>
      <c r="AF1577" s="458"/>
      <c r="AG1577" s="458">
        <f t="shared" ref="AG1577:AI1577" si="1829">SUM(AG1573:AG1576)</f>
        <v>-2439924338</v>
      </c>
      <c r="AH1577" s="458">
        <f t="shared" si="1829"/>
        <v>2887830560</v>
      </c>
      <c r="AI1577" s="458">
        <f t="shared" si="1829"/>
        <v>101601643</v>
      </c>
      <c r="AJ1577" s="770">
        <f>AI1577/AH1577*100</f>
        <v>3.5182688488482508</v>
      </c>
    </row>
    <row r="1578" spans="1:36" ht="12.5" customHeight="1">
      <c r="A1578" s="40"/>
      <c r="B1578" s="40"/>
      <c r="C1578" s="124"/>
      <c r="D1578" s="124"/>
      <c r="E1578" s="124"/>
      <c r="F1578" s="41"/>
      <c r="G1578" s="41"/>
      <c r="H1578" s="66"/>
      <c r="I1578" s="125"/>
      <c r="J1578" s="524"/>
      <c r="K1578" s="525"/>
      <c r="L1578" s="526"/>
      <c r="M1578" s="526"/>
      <c r="N1578" s="526"/>
      <c r="O1578" s="526"/>
      <c r="P1578" s="526"/>
      <c r="Q1578" s="526"/>
      <c r="R1578" s="526"/>
      <c r="S1578" s="526"/>
      <c r="T1578" s="526"/>
      <c r="U1578" s="526"/>
      <c r="V1578" s="526"/>
      <c r="W1578" s="526"/>
      <c r="X1578" s="526"/>
      <c r="Y1578" s="526"/>
      <c r="Z1578" s="526"/>
      <c r="AA1578" s="526"/>
      <c r="AB1578" s="526"/>
      <c r="AC1578" s="526"/>
      <c r="AD1578" s="526"/>
      <c r="AE1578" s="526"/>
      <c r="AF1578" s="526"/>
      <c r="AG1578" s="526"/>
      <c r="AH1578" s="526"/>
      <c r="AI1578" s="526"/>
      <c r="AJ1578" s="779"/>
    </row>
    <row r="1579" spans="1:36" ht="12.5" customHeight="1">
      <c r="A1579" s="40"/>
      <c r="B1579" s="40">
        <v>4</v>
      </c>
      <c r="C1579" s="124"/>
      <c r="D1579" s="124"/>
      <c r="E1579" s="124"/>
      <c r="F1579" s="41"/>
      <c r="G1579" s="41" t="s">
        <v>369</v>
      </c>
      <c r="H1579" s="163"/>
      <c r="I1579" s="125"/>
      <c r="J1579" s="524"/>
      <c r="K1579" s="453"/>
      <c r="L1579" s="526"/>
      <c r="M1579" s="526"/>
      <c r="N1579" s="526"/>
      <c r="O1579" s="526"/>
      <c r="P1579" s="526"/>
      <c r="Q1579" s="526"/>
      <c r="R1579" s="526"/>
      <c r="S1579" s="526"/>
      <c r="T1579" s="526"/>
      <c r="U1579" s="526"/>
      <c r="V1579" s="526"/>
      <c r="W1579" s="526"/>
      <c r="X1579" s="526"/>
      <c r="Y1579" s="526"/>
      <c r="Z1579" s="526"/>
      <c r="AA1579" s="526"/>
      <c r="AB1579" s="526"/>
      <c r="AC1579" s="526"/>
      <c r="AD1579" s="526"/>
      <c r="AE1579" s="526"/>
      <c r="AF1579" s="526"/>
      <c r="AG1579" s="526"/>
      <c r="AH1579" s="526"/>
      <c r="AI1579" s="526"/>
      <c r="AJ1579" s="779"/>
    </row>
    <row r="1580" spans="1:36" ht="12.5" customHeight="1">
      <c r="A1580" s="40"/>
      <c r="B1580" s="40"/>
      <c r="C1580" s="124">
        <v>1</v>
      </c>
      <c r="D1580" s="124"/>
      <c r="E1580" s="124"/>
      <c r="F1580" s="41"/>
      <c r="G1580" s="41"/>
      <c r="H1580" s="125" t="s">
        <v>35</v>
      </c>
      <c r="I1580" s="66"/>
      <c r="J1580" s="524"/>
      <c r="K1580" s="453"/>
      <c r="L1580" s="526"/>
      <c r="M1580" s="526"/>
      <c r="N1580" s="526"/>
      <c r="O1580" s="526"/>
      <c r="P1580" s="526"/>
      <c r="Q1580" s="526"/>
      <c r="R1580" s="526"/>
      <c r="S1580" s="526"/>
      <c r="T1580" s="526"/>
      <c r="U1580" s="526"/>
      <c r="V1580" s="526"/>
      <c r="W1580" s="526"/>
      <c r="X1580" s="526"/>
      <c r="Y1580" s="526"/>
      <c r="Z1580" s="526"/>
      <c r="AA1580" s="526"/>
      <c r="AB1580" s="526"/>
      <c r="AC1580" s="526"/>
      <c r="AD1580" s="526"/>
      <c r="AE1580" s="526"/>
      <c r="AF1580" s="526"/>
      <c r="AG1580" s="526"/>
      <c r="AH1580" s="526"/>
      <c r="AI1580" s="526"/>
      <c r="AJ1580" s="779"/>
    </row>
    <row r="1581" spans="1:36" ht="12.5" customHeight="1">
      <c r="A1581" s="40"/>
      <c r="B1581" s="40"/>
      <c r="C1581" s="124"/>
      <c r="D1581" s="124">
        <v>3</v>
      </c>
      <c r="E1581" s="124" t="s">
        <v>199</v>
      </c>
      <c r="F1581" s="41"/>
      <c r="G1581" s="41"/>
      <c r="H1581" s="163"/>
      <c r="I1581" s="125" t="s">
        <v>116</v>
      </c>
      <c r="J1581" s="524">
        <v>867410</v>
      </c>
      <c r="K1581" s="453"/>
      <c r="L1581" s="526">
        <f>J1581+K1581</f>
        <v>867410</v>
      </c>
      <c r="M1581" s="526"/>
      <c r="N1581" s="526"/>
      <c r="O1581" s="526"/>
      <c r="P1581" s="526"/>
      <c r="Q1581" s="526"/>
      <c r="R1581" s="526"/>
      <c r="S1581" s="217">
        <f t="shared" ref="S1581:S1583" si="1830">SUM(M1581:R1581)</f>
        <v>0</v>
      </c>
      <c r="T1581" s="217">
        <f t="shared" ref="T1581:T1583" si="1831">S1581+L1581</f>
        <v>867410</v>
      </c>
      <c r="U1581" s="526"/>
      <c r="V1581" s="526"/>
      <c r="W1581" s="526"/>
      <c r="X1581" s="526"/>
      <c r="Y1581" s="526"/>
      <c r="Z1581" s="217">
        <f>SUM(U1581:Y1581)</f>
        <v>0</v>
      </c>
      <c r="AA1581" s="217">
        <f>Z1581+T1581</f>
        <v>867410</v>
      </c>
      <c r="AB1581" s="526"/>
      <c r="AC1581" s="526"/>
      <c r="AD1581" s="526"/>
      <c r="AE1581" s="526"/>
      <c r="AF1581" s="526"/>
      <c r="AG1581" s="217">
        <f t="shared" ref="AG1581" si="1832">SUM(AB1581:AF1581)</f>
        <v>0</v>
      </c>
      <c r="AH1581" s="217">
        <f t="shared" ref="AH1581" si="1833">AG1581+AA1581</f>
        <v>867410</v>
      </c>
      <c r="AI1581" s="217">
        <v>867410</v>
      </c>
      <c r="AJ1581" s="764">
        <f>AI1581/AH1581*100</f>
        <v>100</v>
      </c>
    </row>
    <row r="1582" spans="1:36" ht="12.5" customHeight="1">
      <c r="A1582" s="40"/>
      <c r="B1582" s="40"/>
      <c r="C1582" s="124">
        <v>2</v>
      </c>
      <c r="D1582" s="124"/>
      <c r="E1582" s="124"/>
      <c r="F1582" s="41"/>
      <c r="G1582" s="41"/>
      <c r="H1582" s="162" t="s">
        <v>211</v>
      </c>
      <c r="I1582" s="66"/>
      <c r="J1582" s="524"/>
      <c r="K1582" s="525"/>
      <c r="L1582" s="526"/>
      <c r="M1582" s="526"/>
      <c r="N1582" s="526"/>
      <c r="O1582" s="526"/>
      <c r="P1582" s="526"/>
      <c r="Q1582" s="526"/>
      <c r="R1582" s="526"/>
      <c r="S1582" s="217"/>
      <c r="T1582" s="217"/>
      <c r="U1582" s="526"/>
      <c r="V1582" s="526"/>
      <c r="W1582" s="526"/>
      <c r="X1582" s="526"/>
      <c r="Y1582" s="526"/>
      <c r="Z1582" s="217"/>
      <c r="AA1582" s="217"/>
      <c r="AB1582" s="526"/>
      <c r="AC1582" s="526"/>
      <c r="AD1582" s="526"/>
      <c r="AE1582" s="526"/>
      <c r="AF1582" s="526"/>
      <c r="AG1582" s="217"/>
      <c r="AH1582" s="217"/>
      <c r="AI1582" s="217"/>
      <c r="AJ1582" s="764"/>
    </row>
    <row r="1583" spans="1:36" ht="12.5" customHeight="1">
      <c r="A1583" s="40"/>
      <c r="B1583" s="40"/>
      <c r="C1583" s="124"/>
      <c r="D1583" s="124">
        <v>6</v>
      </c>
      <c r="E1583" s="124" t="s">
        <v>199</v>
      </c>
      <c r="F1583" s="41"/>
      <c r="G1583" s="41"/>
      <c r="H1583" s="66"/>
      <c r="I1583" s="125" t="s">
        <v>213</v>
      </c>
      <c r="J1583" s="524"/>
      <c r="K1583" s="525">
        <v>132632</v>
      </c>
      <c r="L1583" s="526">
        <f>SUM(J1583:K1583)</f>
        <v>132632</v>
      </c>
      <c r="M1583" s="526"/>
      <c r="N1583" s="526"/>
      <c r="O1583" s="526"/>
      <c r="P1583" s="526"/>
      <c r="Q1583" s="526"/>
      <c r="R1583" s="526"/>
      <c r="S1583" s="217">
        <f t="shared" si="1830"/>
        <v>0</v>
      </c>
      <c r="T1583" s="217">
        <f t="shared" si="1831"/>
        <v>132632</v>
      </c>
      <c r="U1583" s="526"/>
      <c r="V1583" s="526"/>
      <c r="W1583" s="526"/>
      <c r="X1583" s="526"/>
      <c r="Y1583" s="526"/>
      <c r="Z1583" s="217">
        <f>SUM(U1583:Y1583)</f>
        <v>0</v>
      </c>
      <c r="AA1583" s="217">
        <f>Z1583+T1583</f>
        <v>132632</v>
      </c>
      <c r="AB1583" s="526"/>
      <c r="AC1583" s="526"/>
      <c r="AD1583" s="526"/>
      <c r="AE1583" s="526"/>
      <c r="AF1583" s="526"/>
      <c r="AG1583" s="217">
        <f t="shared" ref="AG1583" si="1834">SUM(AB1583:AF1583)</f>
        <v>0</v>
      </c>
      <c r="AH1583" s="217">
        <f t="shared" ref="AH1583" si="1835">AG1583+AA1583</f>
        <v>132632</v>
      </c>
      <c r="AI1583" s="217"/>
      <c r="AJ1583" s="764"/>
    </row>
    <row r="1584" spans="1:36" ht="12.5" customHeight="1">
      <c r="A1584" s="40"/>
      <c r="B1584" s="40"/>
      <c r="C1584" s="124"/>
      <c r="D1584" s="124"/>
      <c r="E1584" s="124"/>
      <c r="F1584" s="41"/>
      <c r="G1584" s="41"/>
      <c r="H1584" s="66"/>
      <c r="I1584" s="125"/>
      <c r="J1584" s="524"/>
      <c r="K1584" s="525"/>
      <c r="L1584" s="526"/>
      <c r="M1584" s="526"/>
      <c r="N1584" s="526"/>
      <c r="O1584" s="526"/>
      <c r="P1584" s="526"/>
      <c r="Q1584" s="526"/>
      <c r="R1584" s="526"/>
      <c r="S1584" s="526"/>
      <c r="T1584" s="526"/>
      <c r="U1584" s="526"/>
      <c r="V1584" s="526"/>
      <c r="W1584" s="526"/>
      <c r="X1584" s="526"/>
      <c r="Y1584" s="526"/>
      <c r="Z1584" s="526"/>
      <c r="AA1584" s="526"/>
      <c r="AB1584" s="526"/>
      <c r="AC1584" s="526"/>
      <c r="AD1584" s="526"/>
      <c r="AE1584" s="526"/>
      <c r="AF1584" s="526"/>
      <c r="AG1584" s="526"/>
      <c r="AH1584" s="526"/>
      <c r="AI1584" s="526"/>
      <c r="AJ1584" s="779"/>
    </row>
    <row r="1585" spans="1:36" ht="12.5" customHeight="1">
      <c r="A1585" s="40"/>
      <c r="B1585" s="40"/>
      <c r="C1585" s="124"/>
      <c r="D1585" s="124"/>
      <c r="E1585" s="124"/>
      <c r="F1585" s="64"/>
      <c r="G1585" s="64"/>
      <c r="H1585" s="65"/>
      <c r="I1585" s="64" t="s">
        <v>38</v>
      </c>
      <c r="J1585" s="333">
        <f>SUM(J1581:J1584)</f>
        <v>867410</v>
      </c>
      <c r="K1585" s="457">
        <f>SUM(K1581:K1584)</f>
        <v>132632</v>
      </c>
      <c r="L1585" s="458">
        <f>SUM(L1581:L1584)</f>
        <v>1000042</v>
      </c>
      <c r="M1585" s="458">
        <f t="shared" ref="M1585:T1585" si="1836">SUM(M1581:M1584)</f>
        <v>0</v>
      </c>
      <c r="N1585" s="458">
        <f t="shared" si="1836"/>
        <v>0</v>
      </c>
      <c r="O1585" s="458">
        <f t="shared" si="1836"/>
        <v>0</v>
      </c>
      <c r="P1585" s="458">
        <f t="shared" si="1836"/>
        <v>0</v>
      </c>
      <c r="Q1585" s="458">
        <f t="shared" si="1836"/>
        <v>0</v>
      </c>
      <c r="R1585" s="458">
        <f t="shared" si="1836"/>
        <v>0</v>
      </c>
      <c r="S1585" s="458">
        <f t="shared" si="1836"/>
        <v>0</v>
      </c>
      <c r="T1585" s="458">
        <f t="shared" si="1836"/>
        <v>1000042</v>
      </c>
      <c r="U1585" s="458"/>
      <c r="V1585" s="458"/>
      <c r="W1585" s="458"/>
      <c r="X1585" s="458"/>
      <c r="Y1585" s="458"/>
      <c r="Z1585" s="458">
        <f t="shared" ref="Z1585:AA1585" si="1837">SUM(Z1581:Z1584)</f>
        <v>0</v>
      </c>
      <c r="AA1585" s="458">
        <f t="shared" si="1837"/>
        <v>1000042</v>
      </c>
      <c r="AB1585" s="458"/>
      <c r="AC1585" s="458"/>
      <c r="AD1585" s="458"/>
      <c r="AE1585" s="458"/>
      <c r="AF1585" s="458"/>
      <c r="AG1585" s="458">
        <f t="shared" ref="AG1585:AI1585" si="1838">SUM(AG1581:AG1584)</f>
        <v>0</v>
      </c>
      <c r="AH1585" s="458">
        <f t="shared" si="1838"/>
        <v>1000042</v>
      </c>
      <c r="AI1585" s="458">
        <f t="shared" si="1838"/>
        <v>867410</v>
      </c>
      <c r="AJ1585" s="770">
        <f>AI1585/AH1585*100</f>
        <v>86.737357031004706</v>
      </c>
    </row>
    <row r="1586" spans="1:36" ht="18.5" customHeight="1">
      <c r="A1586" s="40"/>
      <c r="B1586" s="40"/>
      <c r="C1586" s="124"/>
      <c r="D1586" s="124"/>
      <c r="E1586" s="124"/>
      <c r="F1586" s="41"/>
      <c r="G1586" s="41"/>
      <c r="H1586" s="66"/>
      <c r="I1586" s="41"/>
      <c r="J1586" s="126"/>
      <c r="K1586" s="204"/>
      <c r="L1586" s="205"/>
      <c r="M1586" s="205"/>
      <c r="N1586" s="205"/>
      <c r="O1586" s="205"/>
      <c r="P1586" s="205"/>
      <c r="Q1586" s="205"/>
      <c r="R1586" s="205"/>
      <c r="S1586" s="205"/>
      <c r="T1586" s="205"/>
      <c r="U1586" s="205"/>
      <c r="V1586" s="205"/>
      <c r="W1586" s="205"/>
      <c r="X1586" s="205"/>
      <c r="Y1586" s="205"/>
      <c r="Z1586" s="205"/>
      <c r="AA1586" s="205"/>
      <c r="AB1586" s="205"/>
      <c r="AC1586" s="205"/>
      <c r="AD1586" s="205"/>
      <c r="AE1586" s="205"/>
      <c r="AF1586" s="205"/>
      <c r="AG1586" s="205"/>
      <c r="AH1586" s="205"/>
      <c r="AI1586" s="205"/>
      <c r="AJ1586" s="747"/>
    </row>
    <row r="1587" spans="1:36" ht="14">
      <c r="A1587" s="40"/>
      <c r="B1587" s="40">
        <v>5</v>
      </c>
      <c r="C1587" s="124"/>
      <c r="D1587" s="124"/>
      <c r="E1587" s="124"/>
      <c r="F1587" s="41"/>
      <c r="G1587" s="41" t="s">
        <v>458</v>
      </c>
      <c r="H1587" s="66"/>
      <c r="I1587" s="41"/>
      <c r="J1587" s="126"/>
      <c r="K1587" s="204"/>
      <c r="L1587" s="205"/>
      <c r="M1587" s="205"/>
      <c r="N1587" s="205"/>
      <c r="O1587" s="205"/>
      <c r="P1587" s="205"/>
      <c r="Q1587" s="205"/>
      <c r="R1587" s="205"/>
      <c r="S1587" s="205"/>
      <c r="T1587" s="205"/>
      <c r="U1587" s="205"/>
      <c r="V1587" s="205"/>
      <c r="W1587" s="205"/>
      <c r="X1587" s="205"/>
      <c r="Y1587" s="205"/>
      <c r="Z1587" s="205"/>
      <c r="AA1587" s="205"/>
      <c r="AB1587" s="205"/>
      <c r="AC1587" s="205"/>
      <c r="AD1587" s="205"/>
      <c r="AE1587" s="205"/>
      <c r="AF1587" s="205"/>
      <c r="AG1587" s="205"/>
      <c r="AH1587" s="205"/>
      <c r="AI1587" s="205"/>
      <c r="AJ1587" s="747"/>
    </row>
    <row r="1588" spans="1:36" ht="14">
      <c r="A1588" s="40"/>
      <c r="B1588" s="40"/>
      <c r="C1588" s="124">
        <v>1</v>
      </c>
      <c r="D1588" s="124"/>
      <c r="E1588" s="124"/>
      <c r="F1588" s="41"/>
      <c r="G1588" s="41"/>
      <c r="H1588" s="125" t="s">
        <v>35</v>
      </c>
      <c r="I1588" s="66"/>
      <c r="J1588" s="126"/>
      <c r="K1588" s="204"/>
      <c r="L1588" s="205"/>
      <c r="M1588" s="205"/>
      <c r="N1588" s="205"/>
      <c r="O1588" s="205"/>
      <c r="P1588" s="205"/>
      <c r="Q1588" s="205"/>
      <c r="R1588" s="205"/>
      <c r="S1588" s="205"/>
      <c r="T1588" s="205"/>
      <c r="U1588" s="205"/>
      <c r="V1588" s="205"/>
      <c r="W1588" s="205"/>
      <c r="X1588" s="205"/>
      <c r="Y1588" s="205"/>
      <c r="Z1588" s="205"/>
      <c r="AA1588" s="205"/>
      <c r="AB1588" s="205"/>
      <c r="AC1588" s="205"/>
      <c r="AD1588" s="205"/>
      <c r="AE1588" s="205"/>
      <c r="AF1588" s="205"/>
      <c r="AG1588" s="205"/>
      <c r="AH1588" s="205"/>
      <c r="AI1588" s="205"/>
      <c r="AJ1588" s="747"/>
    </row>
    <row r="1589" spans="1:36" ht="14">
      <c r="A1589" s="160"/>
      <c r="B1589" s="160"/>
      <c r="C1589" s="161"/>
      <c r="D1589" s="161">
        <v>1</v>
      </c>
      <c r="E1589" s="124" t="s">
        <v>199</v>
      </c>
      <c r="F1589" s="41"/>
      <c r="G1589" s="41"/>
      <c r="H1589" s="125"/>
      <c r="I1589" s="66" t="s">
        <v>180</v>
      </c>
      <c r="J1589" s="205"/>
      <c r="K1589" s="467"/>
      <c r="L1589" s="205"/>
      <c r="M1589" s="205"/>
      <c r="N1589" s="205"/>
      <c r="O1589" s="205"/>
      <c r="P1589" s="205"/>
      <c r="Q1589" s="205"/>
      <c r="R1589" s="205"/>
      <c r="S1589" s="205"/>
      <c r="T1589" s="205"/>
      <c r="U1589" s="205"/>
      <c r="V1589" s="205"/>
      <c r="W1589" s="205"/>
      <c r="X1589" s="205"/>
      <c r="Y1589" s="205"/>
      <c r="Z1589" s="205"/>
      <c r="AA1589" s="205"/>
      <c r="AB1589" s="205"/>
      <c r="AC1589" s="526">
        <v>6300000</v>
      </c>
      <c r="AD1589" s="205"/>
      <c r="AE1589" s="205"/>
      <c r="AF1589" s="205"/>
      <c r="AG1589" s="217">
        <f t="shared" ref="AG1589:AG1592" si="1839">SUM(AB1589:AF1589)</f>
        <v>6300000</v>
      </c>
      <c r="AH1589" s="217">
        <f t="shared" ref="AH1589:AH1592" si="1840">AG1589+AA1589</f>
        <v>6300000</v>
      </c>
      <c r="AI1589" s="205"/>
      <c r="AJ1589" s="747"/>
    </row>
    <row r="1590" spans="1:36" ht="14">
      <c r="A1590" s="160"/>
      <c r="B1590" s="160"/>
      <c r="C1590" s="161"/>
      <c r="D1590" s="161">
        <v>2</v>
      </c>
      <c r="E1590" s="124" t="s">
        <v>199</v>
      </c>
      <c r="F1590" s="41"/>
      <c r="G1590" s="41"/>
      <c r="H1590" s="125"/>
      <c r="I1590" s="66" t="s">
        <v>182</v>
      </c>
      <c r="J1590" s="205"/>
      <c r="K1590" s="467"/>
      <c r="L1590" s="205"/>
      <c r="M1590" s="205"/>
      <c r="N1590" s="205"/>
      <c r="O1590" s="205"/>
      <c r="P1590" s="205"/>
      <c r="Q1590" s="205"/>
      <c r="R1590" s="205"/>
      <c r="S1590" s="205"/>
      <c r="T1590" s="205"/>
      <c r="U1590" s="205"/>
      <c r="V1590" s="205"/>
      <c r="W1590" s="205"/>
      <c r="X1590" s="205"/>
      <c r="Y1590" s="205"/>
      <c r="Z1590" s="205"/>
      <c r="AA1590" s="205"/>
      <c r="AB1590" s="205"/>
      <c r="AC1590" s="526">
        <v>1228500</v>
      </c>
      <c r="AD1590" s="205"/>
      <c r="AE1590" s="205"/>
      <c r="AF1590" s="205"/>
      <c r="AG1590" s="217">
        <f t="shared" si="1839"/>
        <v>1228500</v>
      </c>
      <c r="AH1590" s="217">
        <f t="shared" si="1840"/>
        <v>1228500</v>
      </c>
      <c r="AI1590" s="205"/>
      <c r="AJ1590" s="747"/>
    </row>
    <row r="1591" spans="1:36" ht="14">
      <c r="A1591" s="40"/>
      <c r="B1591" s="40"/>
      <c r="C1591" s="124"/>
      <c r="D1591" s="124">
        <v>3</v>
      </c>
      <c r="E1591" s="124" t="s">
        <v>199</v>
      </c>
      <c r="F1591" s="41"/>
      <c r="G1591" s="41"/>
      <c r="H1591" s="163"/>
      <c r="I1591" s="125" t="s">
        <v>116</v>
      </c>
      <c r="J1591" s="524">
        <v>76402914</v>
      </c>
      <c r="K1591" s="525"/>
      <c r="L1591" s="526">
        <f>SUM(J1591:K1591)</f>
        <v>76402914</v>
      </c>
      <c r="M1591" s="526"/>
      <c r="N1591" s="526"/>
      <c r="O1591" s="526"/>
      <c r="P1591" s="526"/>
      <c r="Q1591" s="526"/>
      <c r="R1591" s="526"/>
      <c r="S1591" s="217">
        <f t="shared" ref="S1591:S1593" si="1841">SUM(M1591:R1591)</f>
        <v>0</v>
      </c>
      <c r="T1591" s="217">
        <f t="shared" ref="T1591:T1593" si="1842">S1591+L1591</f>
        <v>76402914</v>
      </c>
      <c r="U1591" s="526"/>
      <c r="V1591" s="526"/>
      <c r="W1591" s="526"/>
      <c r="X1591" s="526"/>
      <c r="Y1591" s="526"/>
      <c r="Z1591" s="217">
        <f>SUM(U1591:Y1591)</f>
        <v>0</v>
      </c>
      <c r="AA1591" s="217">
        <f>Z1591+T1591</f>
        <v>76402914</v>
      </c>
      <c r="AB1591" s="526"/>
      <c r="AC1591" s="526">
        <v>2210054</v>
      </c>
      <c r="AD1591" s="526"/>
      <c r="AE1591" s="526"/>
      <c r="AF1591" s="526"/>
      <c r="AG1591" s="217">
        <f t="shared" si="1839"/>
        <v>2210054</v>
      </c>
      <c r="AH1591" s="217">
        <f t="shared" si="1840"/>
        <v>78612968</v>
      </c>
      <c r="AI1591" s="217">
        <v>12381500</v>
      </c>
      <c r="AJ1591" s="764">
        <f>AI1591/AH1591*100</f>
        <v>15.749945988554966</v>
      </c>
    </row>
    <row r="1592" spans="1:36" ht="14">
      <c r="A1592" s="40"/>
      <c r="B1592" s="40"/>
      <c r="C1592" s="124">
        <v>2</v>
      </c>
      <c r="D1592" s="124"/>
      <c r="E1592" s="124"/>
      <c r="F1592" s="41"/>
      <c r="G1592" s="41"/>
      <c r="H1592" s="162" t="s">
        <v>211</v>
      </c>
      <c r="I1592" s="66"/>
      <c r="J1592" s="524"/>
      <c r="K1592" s="525"/>
      <c r="L1592" s="526"/>
      <c r="M1592" s="526"/>
      <c r="N1592" s="526"/>
      <c r="O1592" s="526"/>
      <c r="P1592" s="526"/>
      <c r="Q1592" s="526"/>
      <c r="R1592" s="526"/>
      <c r="S1592" s="217"/>
      <c r="T1592" s="217"/>
      <c r="U1592" s="526"/>
      <c r="V1592" s="526"/>
      <c r="W1592" s="526"/>
      <c r="X1592" s="526"/>
      <c r="Y1592" s="526"/>
      <c r="Z1592" s="217"/>
      <c r="AA1592" s="217"/>
      <c r="AB1592" s="526"/>
      <c r="AC1592" s="526"/>
      <c r="AD1592" s="526"/>
      <c r="AE1592" s="526"/>
      <c r="AF1592" s="526"/>
      <c r="AG1592" s="217">
        <f t="shared" si="1839"/>
        <v>0</v>
      </c>
      <c r="AH1592" s="217">
        <f t="shared" si="1840"/>
        <v>0</v>
      </c>
      <c r="AI1592" s="217"/>
      <c r="AJ1592" s="764"/>
    </row>
    <row r="1593" spans="1:36" ht="14">
      <c r="A1593" s="40"/>
      <c r="B1593" s="40"/>
      <c r="C1593" s="124"/>
      <c r="D1593" s="124">
        <v>6</v>
      </c>
      <c r="E1593" s="124" t="s">
        <v>199</v>
      </c>
      <c r="F1593" s="41"/>
      <c r="G1593" s="41"/>
      <c r="H1593" s="66"/>
      <c r="I1593" s="125" t="s">
        <v>213</v>
      </c>
      <c r="J1593" s="524"/>
      <c r="K1593" s="525">
        <v>232597086</v>
      </c>
      <c r="L1593" s="526">
        <f>SUM(J1593:K1593)</f>
        <v>232597086</v>
      </c>
      <c r="M1593" s="526"/>
      <c r="N1593" s="526"/>
      <c r="O1593" s="526"/>
      <c r="P1593" s="526"/>
      <c r="Q1593" s="526">
        <v>92000</v>
      </c>
      <c r="R1593" s="526"/>
      <c r="S1593" s="217">
        <f t="shared" si="1841"/>
        <v>92000</v>
      </c>
      <c r="T1593" s="217">
        <f t="shared" si="1842"/>
        <v>232689086</v>
      </c>
      <c r="U1593" s="526"/>
      <c r="V1593" s="526"/>
      <c r="W1593" s="526"/>
      <c r="X1593" s="526"/>
      <c r="Y1593" s="526"/>
      <c r="Z1593" s="217">
        <f>SUM(U1593:Y1593)</f>
        <v>0</v>
      </c>
      <c r="AA1593" s="217">
        <f>Z1593+T1593</f>
        <v>232689086</v>
      </c>
      <c r="AB1593" s="526"/>
      <c r="AC1593" s="526">
        <v>-9738554</v>
      </c>
      <c r="AD1593" s="526"/>
      <c r="AE1593" s="526"/>
      <c r="AF1593" s="526"/>
      <c r="AG1593" s="217">
        <f t="shared" ref="AG1593" si="1843">SUM(AB1593:AF1593)</f>
        <v>-9738554</v>
      </c>
      <c r="AH1593" s="217">
        <f t="shared" ref="AH1593" si="1844">AG1593+AA1593</f>
        <v>222950532</v>
      </c>
      <c r="AI1593" s="217">
        <v>92000</v>
      </c>
      <c r="AJ1593" s="764">
        <f>AI1593/AH1593*100</f>
        <v>4.1264759126028908E-2</v>
      </c>
    </row>
    <row r="1594" spans="1:36" ht="14">
      <c r="A1594" s="40"/>
      <c r="B1594" s="40"/>
      <c r="C1594" s="124"/>
      <c r="D1594" s="124"/>
      <c r="E1594" s="124"/>
      <c r="F1594" s="41"/>
      <c r="G1594" s="41"/>
      <c r="H1594" s="66"/>
      <c r="I1594" s="41"/>
      <c r="J1594" s="126"/>
      <c r="K1594" s="204"/>
      <c r="L1594" s="205"/>
      <c r="M1594" s="205"/>
      <c r="N1594" s="205"/>
      <c r="O1594" s="205"/>
      <c r="P1594" s="205"/>
      <c r="Q1594" s="205"/>
      <c r="R1594" s="205"/>
      <c r="S1594" s="205"/>
      <c r="T1594" s="205"/>
      <c r="U1594" s="205"/>
      <c r="V1594" s="205"/>
      <c r="W1594" s="205"/>
      <c r="X1594" s="205"/>
      <c r="Y1594" s="205"/>
      <c r="Z1594" s="205"/>
      <c r="AA1594" s="205"/>
      <c r="AB1594" s="205"/>
      <c r="AC1594" s="205"/>
      <c r="AD1594" s="205"/>
      <c r="AE1594" s="205"/>
      <c r="AF1594" s="205"/>
      <c r="AG1594" s="205"/>
      <c r="AH1594" s="205"/>
      <c r="AI1594" s="205"/>
      <c r="AJ1594" s="747"/>
    </row>
    <row r="1595" spans="1:36" ht="14">
      <c r="A1595" s="40"/>
      <c r="B1595" s="40"/>
      <c r="C1595" s="124"/>
      <c r="D1595" s="124"/>
      <c r="E1595" s="124"/>
      <c r="F1595" s="64"/>
      <c r="G1595" s="64"/>
      <c r="H1595" s="65"/>
      <c r="I1595" s="64" t="s">
        <v>38</v>
      </c>
      <c r="J1595" s="333">
        <f>SUM(J1588:J1594)</f>
        <v>76402914</v>
      </c>
      <c r="K1595" s="457">
        <f>SUM(K1588:K1594)</f>
        <v>232597086</v>
      </c>
      <c r="L1595" s="458">
        <f>SUM(L1588:L1594)</f>
        <v>309000000</v>
      </c>
      <c r="M1595" s="458">
        <f t="shared" ref="M1595:T1595" si="1845">SUM(M1588:M1594)</f>
        <v>0</v>
      </c>
      <c r="N1595" s="458">
        <f t="shared" si="1845"/>
        <v>0</v>
      </c>
      <c r="O1595" s="458">
        <f t="shared" si="1845"/>
        <v>0</v>
      </c>
      <c r="P1595" s="458">
        <f t="shared" si="1845"/>
        <v>0</v>
      </c>
      <c r="Q1595" s="458">
        <f t="shared" si="1845"/>
        <v>92000</v>
      </c>
      <c r="R1595" s="458">
        <f t="shared" si="1845"/>
        <v>0</v>
      </c>
      <c r="S1595" s="458">
        <f t="shared" si="1845"/>
        <v>92000</v>
      </c>
      <c r="T1595" s="458">
        <f t="shared" si="1845"/>
        <v>309092000</v>
      </c>
      <c r="U1595" s="458"/>
      <c r="V1595" s="458"/>
      <c r="W1595" s="458"/>
      <c r="X1595" s="458"/>
      <c r="Y1595" s="458"/>
      <c r="Z1595" s="458">
        <f t="shared" ref="Z1595:AB1595" si="1846">SUM(Z1588:Z1594)</f>
        <v>0</v>
      </c>
      <c r="AA1595" s="458">
        <f t="shared" si="1846"/>
        <v>309092000</v>
      </c>
      <c r="AB1595" s="458">
        <f t="shared" si="1846"/>
        <v>0</v>
      </c>
      <c r="AC1595" s="458">
        <f>SUM(AC1589:AC1593)</f>
        <v>0</v>
      </c>
      <c r="AD1595" s="458"/>
      <c r="AE1595" s="458"/>
      <c r="AF1595" s="458"/>
      <c r="AG1595" s="458">
        <f t="shared" ref="AG1595:AH1595" si="1847">SUM(AG1588:AG1594)</f>
        <v>0</v>
      </c>
      <c r="AH1595" s="458">
        <f t="shared" si="1847"/>
        <v>309092000</v>
      </c>
      <c r="AI1595" s="458">
        <f t="shared" ref="AI1595" si="1848">SUM(AI1588:AI1594)</f>
        <v>12473500</v>
      </c>
      <c r="AJ1595" s="770">
        <f>AI1595/AH1595*100</f>
        <v>4.0355298746004422</v>
      </c>
    </row>
    <row r="1596" spans="1:36" ht="12.5" customHeight="1">
      <c r="A1596" s="40"/>
      <c r="B1596" s="40"/>
      <c r="C1596" s="124"/>
      <c r="D1596" s="124"/>
      <c r="E1596" s="124"/>
      <c r="F1596" s="41"/>
      <c r="G1596" s="41"/>
      <c r="H1596" s="66"/>
      <c r="I1596" s="41"/>
      <c r="J1596" s="126"/>
      <c r="K1596" s="204"/>
      <c r="L1596" s="205"/>
      <c r="M1596" s="205"/>
      <c r="N1596" s="205"/>
      <c r="O1596" s="205"/>
      <c r="P1596" s="205"/>
      <c r="Q1596" s="205"/>
      <c r="R1596" s="205"/>
      <c r="S1596" s="205"/>
      <c r="T1596" s="205"/>
      <c r="U1596" s="205"/>
      <c r="V1596" s="205"/>
      <c r="W1596" s="205"/>
      <c r="X1596" s="205"/>
      <c r="Y1596" s="205"/>
      <c r="Z1596" s="205"/>
      <c r="AA1596" s="205"/>
      <c r="AB1596" s="205"/>
      <c r="AC1596" s="205"/>
      <c r="AD1596" s="205"/>
      <c r="AE1596" s="205"/>
      <c r="AF1596" s="205"/>
      <c r="AG1596" s="205"/>
      <c r="AH1596" s="205"/>
      <c r="AI1596" s="205"/>
      <c r="AJ1596" s="747"/>
    </row>
    <row r="1597" spans="1:36" ht="12.5" customHeight="1">
      <c r="A1597" s="40"/>
      <c r="B1597" s="40"/>
      <c r="C1597" s="124"/>
      <c r="D1597" s="124"/>
      <c r="E1597" s="124"/>
      <c r="F1597" s="42"/>
      <c r="G1597" s="42"/>
      <c r="H1597" s="165"/>
      <c r="I1597" s="166" t="s">
        <v>37</v>
      </c>
      <c r="J1597" s="460">
        <f>SUM(J1552:J1595)/2</f>
        <v>2060529630</v>
      </c>
      <c r="K1597" s="461">
        <f>SUM(K1552:K1595)/2</f>
        <v>8192707955</v>
      </c>
      <c r="L1597" s="460">
        <f>SUM(L1552:L1595)/2</f>
        <v>10253237585</v>
      </c>
      <c r="M1597" s="460">
        <f t="shared" ref="M1597:T1597" si="1849">SUM(M1552:M1595)/2</f>
        <v>0</v>
      </c>
      <c r="N1597" s="460">
        <f t="shared" si="1849"/>
        <v>0</v>
      </c>
      <c r="O1597" s="460">
        <f t="shared" si="1849"/>
        <v>0</v>
      </c>
      <c r="P1597" s="460">
        <f t="shared" si="1849"/>
        <v>0</v>
      </c>
      <c r="Q1597" s="460">
        <f t="shared" si="1849"/>
        <v>-4027000</v>
      </c>
      <c r="R1597" s="460">
        <f t="shared" si="1849"/>
        <v>0</v>
      </c>
      <c r="S1597" s="460">
        <f t="shared" si="1849"/>
        <v>-4027000</v>
      </c>
      <c r="T1597" s="460">
        <f t="shared" si="1849"/>
        <v>10249210585</v>
      </c>
      <c r="U1597" s="460"/>
      <c r="V1597" s="460"/>
      <c r="W1597" s="460"/>
      <c r="X1597" s="460"/>
      <c r="Y1597" s="460"/>
      <c r="Z1597" s="460">
        <f t="shared" ref="Z1597:AF1597" si="1850">SUM(Z1552:Z1595)/2</f>
        <v>0</v>
      </c>
      <c r="AA1597" s="460">
        <f t="shared" si="1850"/>
        <v>10249210585</v>
      </c>
      <c r="AB1597" s="460">
        <f t="shared" si="1850"/>
        <v>0</v>
      </c>
      <c r="AC1597" s="460">
        <f t="shared" si="1850"/>
        <v>-5500000000</v>
      </c>
      <c r="AD1597" s="460">
        <f t="shared" si="1850"/>
        <v>0</v>
      </c>
      <c r="AE1597" s="460">
        <f t="shared" si="1850"/>
        <v>40249177</v>
      </c>
      <c r="AF1597" s="460">
        <f t="shared" si="1850"/>
        <v>0</v>
      </c>
      <c r="AG1597" s="460">
        <f t="shared" ref="AG1597:AH1597" si="1851">SUM(AG1552:AG1595)/2</f>
        <v>-5459750823</v>
      </c>
      <c r="AH1597" s="460">
        <f t="shared" si="1851"/>
        <v>4789459762</v>
      </c>
      <c r="AI1597" s="460">
        <f t="shared" ref="AI1597" si="1852">SUM(AI1552:AI1595)/2</f>
        <v>474834865</v>
      </c>
      <c r="AJ1597" s="776">
        <f>AI1597/AH1597*100</f>
        <v>9.9141633627947368</v>
      </c>
    </row>
    <row r="1598" spans="1:36" ht="14">
      <c r="A1598" s="40"/>
      <c r="B1598" s="40"/>
      <c r="C1598" s="124"/>
      <c r="D1598" s="124"/>
      <c r="E1598" s="124"/>
      <c r="F1598" s="41"/>
      <c r="G1598" s="41"/>
      <c r="H1598" s="66"/>
      <c r="I1598" s="41"/>
      <c r="J1598" s="126"/>
      <c r="K1598" s="204"/>
      <c r="L1598" s="205"/>
      <c r="M1598" s="205"/>
      <c r="N1598" s="205"/>
      <c r="O1598" s="205"/>
      <c r="P1598" s="205"/>
      <c r="Q1598" s="205"/>
      <c r="R1598" s="205"/>
      <c r="S1598" s="205"/>
      <c r="T1598" s="205"/>
      <c r="U1598" s="205"/>
      <c r="V1598" s="205"/>
      <c r="W1598" s="205"/>
      <c r="X1598" s="205"/>
      <c r="Y1598" s="205"/>
      <c r="Z1598" s="205"/>
      <c r="AA1598" s="205"/>
      <c r="AB1598" s="205"/>
      <c r="AC1598" s="205"/>
      <c r="AD1598" s="205"/>
      <c r="AE1598" s="205"/>
      <c r="AF1598" s="205"/>
      <c r="AG1598" s="205"/>
      <c r="AH1598" s="205"/>
      <c r="AI1598" s="205"/>
      <c r="AJ1598" s="747"/>
    </row>
    <row r="1599" spans="1:36" ht="14">
      <c r="A1599" s="40">
        <v>202</v>
      </c>
      <c r="B1599" s="40"/>
      <c r="C1599" s="124"/>
      <c r="D1599" s="124"/>
      <c r="E1599" s="124"/>
      <c r="F1599" s="41" t="s">
        <v>395</v>
      </c>
      <c r="G1599" s="41"/>
      <c r="H1599" s="63"/>
      <c r="I1599" s="41"/>
      <c r="J1599" s="452"/>
      <c r="K1599" s="453"/>
      <c r="L1599" s="454"/>
      <c r="M1599" s="454"/>
      <c r="N1599" s="454"/>
      <c r="O1599" s="454"/>
      <c r="P1599" s="454"/>
      <c r="Q1599" s="454"/>
      <c r="R1599" s="454"/>
      <c r="S1599" s="454"/>
      <c r="T1599" s="454"/>
      <c r="U1599" s="454"/>
      <c r="V1599" s="454"/>
      <c r="W1599" s="454"/>
      <c r="X1599" s="454"/>
      <c r="Y1599" s="454"/>
      <c r="Z1599" s="454"/>
      <c r="AA1599" s="454"/>
      <c r="AB1599" s="454"/>
      <c r="AC1599" s="454"/>
      <c r="AD1599" s="454"/>
      <c r="AE1599" s="454"/>
      <c r="AF1599" s="454"/>
      <c r="AG1599" s="454"/>
      <c r="AH1599" s="454"/>
      <c r="AI1599" s="454"/>
      <c r="AJ1599" s="769"/>
    </row>
    <row r="1600" spans="1:36" ht="14">
      <c r="A1600" s="40"/>
      <c r="B1600" s="40">
        <v>1</v>
      </c>
      <c r="C1600" s="124"/>
      <c r="D1600" s="124"/>
      <c r="E1600" s="124"/>
      <c r="F1600" s="41"/>
      <c r="G1600" s="41" t="s">
        <v>396</v>
      </c>
      <c r="H1600" s="125"/>
      <c r="I1600" s="66"/>
      <c r="J1600" s="524"/>
      <c r="K1600" s="453"/>
      <c r="L1600" s="526"/>
      <c r="M1600" s="526"/>
      <c r="N1600" s="526"/>
      <c r="O1600" s="526"/>
      <c r="P1600" s="526"/>
      <c r="Q1600" s="526"/>
      <c r="R1600" s="526"/>
      <c r="S1600" s="526"/>
      <c r="T1600" s="526"/>
      <c r="U1600" s="526"/>
      <c r="V1600" s="526"/>
      <c r="W1600" s="526"/>
      <c r="X1600" s="526"/>
      <c r="Y1600" s="526"/>
      <c r="Z1600" s="526"/>
      <c r="AA1600" s="526"/>
      <c r="AB1600" s="526"/>
      <c r="AC1600" s="526"/>
      <c r="AD1600" s="526"/>
      <c r="AE1600" s="526"/>
      <c r="AF1600" s="526"/>
      <c r="AG1600" s="526"/>
      <c r="AH1600" s="526"/>
      <c r="AI1600" s="526"/>
      <c r="AJ1600" s="779"/>
    </row>
    <row r="1601" spans="1:36" ht="14">
      <c r="A1601" s="40"/>
      <c r="B1601" s="40"/>
      <c r="C1601" s="124">
        <v>1</v>
      </c>
      <c r="D1601" s="124"/>
      <c r="E1601" s="124"/>
      <c r="F1601" s="41"/>
      <c r="G1601" s="41"/>
      <c r="H1601" s="163" t="s">
        <v>35</v>
      </c>
      <c r="I1601" s="66"/>
      <c r="J1601" s="524"/>
      <c r="K1601" s="453"/>
      <c r="L1601" s="526"/>
      <c r="M1601" s="526"/>
      <c r="N1601" s="526"/>
      <c r="O1601" s="526"/>
      <c r="P1601" s="526"/>
      <c r="Q1601" s="526"/>
      <c r="R1601" s="526"/>
      <c r="S1601" s="526"/>
      <c r="T1601" s="526"/>
      <c r="U1601" s="526"/>
      <c r="V1601" s="526"/>
      <c r="W1601" s="526"/>
      <c r="X1601" s="526"/>
      <c r="Y1601" s="526"/>
      <c r="Z1601" s="526"/>
      <c r="AA1601" s="526"/>
      <c r="AB1601" s="526"/>
      <c r="AC1601" s="526"/>
      <c r="AD1601" s="526"/>
      <c r="AE1601" s="526"/>
      <c r="AF1601" s="526"/>
      <c r="AG1601" s="526"/>
      <c r="AH1601" s="526"/>
      <c r="AI1601" s="526"/>
      <c r="AJ1601" s="779"/>
    </row>
    <row r="1602" spans="1:36" ht="14">
      <c r="A1602" s="40"/>
      <c r="B1602" s="40"/>
      <c r="C1602" s="124"/>
      <c r="D1602" s="124">
        <v>3</v>
      </c>
      <c r="E1602" s="124" t="s">
        <v>199</v>
      </c>
      <c r="F1602" s="41"/>
      <c r="G1602" s="41"/>
      <c r="H1602" s="162"/>
      <c r="I1602" s="125" t="s">
        <v>116</v>
      </c>
      <c r="J1602" s="524">
        <v>11841409</v>
      </c>
      <c r="K1602" s="453"/>
      <c r="L1602" s="526">
        <f>SUM(J1602:K1602)</f>
        <v>11841409</v>
      </c>
      <c r="M1602" s="526"/>
      <c r="N1602" s="526"/>
      <c r="O1602" s="526"/>
      <c r="P1602" s="526"/>
      <c r="Q1602" s="526"/>
      <c r="R1602" s="526"/>
      <c r="S1602" s="217">
        <f t="shared" ref="S1602:S1604" si="1853">SUM(M1602:R1602)</f>
        <v>0</v>
      </c>
      <c r="T1602" s="217">
        <f t="shared" ref="T1602:T1604" si="1854">S1602+L1602</f>
        <v>11841409</v>
      </c>
      <c r="U1602" s="526"/>
      <c r="V1602" s="526"/>
      <c r="W1602" s="526"/>
      <c r="X1602" s="526"/>
      <c r="Y1602" s="526"/>
      <c r="Z1602" s="217">
        <f>SUM(U1602:Y1602)</f>
        <v>0</v>
      </c>
      <c r="AA1602" s="217">
        <f>Z1602+T1602</f>
        <v>11841409</v>
      </c>
      <c r="AB1602" s="526"/>
      <c r="AC1602" s="526"/>
      <c r="AD1602" s="526"/>
      <c r="AE1602" s="526">
        <v>12817167</v>
      </c>
      <c r="AF1602" s="526"/>
      <c r="AG1602" s="217">
        <f t="shared" ref="AG1602" si="1855">SUM(AB1602:AF1602)</f>
        <v>12817167</v>
      </c>
      <c r="AH1602" s="217">
        <f t="shared" ref="AH1602" si="1856">AG1602+AA1602</f>
        <v>24658576</v>
      </c>
      <c r="AI1602" s="217">
        <v>5829256</v>
      </c>
      <c r="AJ1602" s="764">
        <f>AI1602/AH1602*100</f>
        <v>23.6398727971964</v>
      </c>
    </row>
    <row r="1603" spans="1:36" ht="14">
      <c r="A1603" s="40"/>
      <c r="B1603" s="40"/>
      <c r="C1603" s="124">
        <v>2</v>
      </c>
      <c r="D1603" s="124"/>
      <c r="E1603" s="124"/>
      <c r="F1603" s="41"/>
      <c r="G1603" s="41"/>
      <c r="H1603" s="66" t="s">
        <v>211</v>
      </c>
      <c r="I1603" s="125"/>
      <c r="J1603" s="524"/>
      <c r="K1603" s="525"/>
      <c r="L1603" s="526"/>
      <c r="M1603" s="526"/>
      <c r="N1603" s="526"/>
      <c r="O1603" s="526"/>
      <c r="P1603" s="526"/>
      <c r="Q1603" s="526"/>
      <c r="R1603" s="526"/>
      <c r="S1603" s="217"/>
      <c r="T1603" s="217"/>
      <c r="U1603" s="526"/>
      <c r="V1603" s="526"/>
      <c r="W1603" s="526"/>
      <c r="X1603" s="526"/>
      <c r="Y1603" s="526"/>
      <c r="Z1603" s="217"/>
      <c r="AA1603" s="217"/>
      <c r="AB1603" s="526"/>
      <c r="AC1603" s="526"/>
      <c r="AD1603" s="526"/>
      <c r="AE1603" s="526"/>
      <c r="AF1603" s="526"/>
      <c r="AG1603" s="217"/>
      <c r="AH1603" s="217"/>
      <c r="AI1603" s="217"/>
      <c r="AJ1603" s="764"/>
    </row>
    <row r="1604" spans="1:36" ht="14">
      <c r="A1604" s="40"/>
      <c r="B1604" s="40"/>
      <c r="C1604" s="124"/>
      <c r="D1604" s="124">
        <v>6</v>
      </c>
      <c r="E1604" s="124" t="s">
        <v>199</v>
      </c>
      <c r="F1604" s="41"/>
      <c r="G1604" s="41"/>
      <c r="H1604" s="125"/>
      <c r="I1604" s="66" t="s">
        <v>213</v>
      </c>
      <c r="J1604" s="524"/>
      <c r="K1604" s="525">
        <v>256889111</v>
      </c>
      <c r="L1604" s="526">
        <f>SUM(J1604:K1604)</f>
        <v>256889111</v>
      </c>
      <c r="M1604" s="526"/>
      <c r="N1604" s="526"/>
      <c r="O1604" s="526"/>
      <c r="P1604" s="526"/>
      <c r="Q1604" s="526"/>
      <c r="R1604" s="526"/>
      <c r="S1604" s="217">
        <f t="shared" si="1853"/>
        <v>0</v>
      </c>
      <c r="T1604" s="217">
        <f t="shared" si="1854"/>
        <v>256889111</v>
      </c>
      <c r="U1604" s="526"/>
      <c r="V1604" s="526"/>
      <c r="W1604" s="526"/>
      <c r="X1604" s="526">
        <v>-13355000</v>
      </c>
      <c r="Y1604" s="526"/>
      <c r="Z1604" s="217">
        <f>SUM(U1604:Y1604)</f>
        <v>-13355000</v>
      </c>
      <c r="AA1604" s="217">
        <f>Z1604+T1604</f>
        <v>243534111</v>
      </c>
      <c r="AB1604" s="526"/>
      <c r="AC1604" s="526"/>
      <c r="AD1604" s="526"/>
      <c r="AE1604" s="526">
        <v>-39427167</v>
      </c>
      <c r="AF1604" s="526"/>
      <c r="AG1604" s="217">
        <f t="shared" ref="AG1604" si="1857">SUM(AB1604:AF1604)</f>
        <v>-39427167</v>
      </c>
      <c r="AH1604" s="217">
        <f t="shared" ref="AH1604" si="1858">AG1604+AA1604</f>
        <v>204106944</v>
      </c>
      <c r="AI1604" s="217">
        <v>150675442</v>
      </c>
      <c r="AJ1604" s="764">
        <f>AI1604/AH1604*100</f>
        <v>73.821810785624237</v>
      </c>
    </row>
    <row r="1605" spans="1:36" ht="14">
      <c r="A1605" s="40"/>
      <c r="B1605" s="40"/>
      <c r="C1605" s="124"/>
      <c r="D1605" s="124"/>
      <c r="E1605" s="124"/>
      <c r="F1605" s="41"/>
      <c r="G1605" s="41"/>
      <c r="H1605" s="63"/>
      <c r="I1605" s="41"/>
      <c r="J1605" s="541"/>
      <c r="K1605" s="542"/>
      <c r="L1605" s="205"/>
      <c r="M1605" s="205"/>
      <c r="N1605" s="205"/>
      <c r="O1605" s="205"/>
      <c r="P1605" s="205"/>
      <c r="Q1605" s="205"/>
      <c r="R1605" s="205"/>
      <c r="S1605" s="205"/>
      <c r="T1605" s="205"/>
      <c r="U1605" s="205"/>
      <c r="V1605" s="205"/>
      <c r="W1605" s="205"/>
      <c r="X1605" s="205"/>
      <c r="Y1605" s="205"/>
      <c r="Z1605" s="205"/>
      <c r="AA1605" s="205"/>
      <c r="AB1605" s="205"/>
      <c r="AC1605" s="205"/>
      <c r="AD1605" s="205"/>
      <c r="AE1605" s="205"/>
      <c r="AF1605" s="205"/>
      <c r="AG1605" s="205"/>
      <c r="AH1605" s="205"/>
      <c r="AI1605" s="205"/>
      <c r="AJ1605" s="747"/>
    </row>
    <row r="1606" spans="1:36" ht="14">
      <c r="A1606" s="40"/>
      <c r="B1606" s="40"/>
      <c r="C1606" s="124"/>
      <c r="D1606" s="124"/>
      <c r="E1606" s="124"/>
      <c r="F1606" s="173"/>
      <c r="G1606" s="64"/>
      <c r="H1606" s="65"/>
      <c r="I1606" s="64" t="s">
        <v>38</v>
      </c>
      <c r="J1606" s="333">
        <f>SUM(J1602:J1605)</f>
        <v>11841409</v>
      </c>
      <c r="K1606" s="457">
        <f>SUM(K1602:K1605)</f>
        <v>256889111</v>
      </c>
      <c r="L1606" s="458">
        <f>SUM(L1602:L1605)</f>
        <v>268730520</v>
      </c>
      <c r="M1606" s="458">
        <f t="shared" ref="M1606:T1606" si="1859">SUM(M1602:M1605)</f>
        <v>0</v>
      </c>
      <c r="N1606" s="458">
        <f t="shared" si="1859"/>
        <v>0</v>
      </c>
      <c r="O1606" s="458">
        <f t="shared" si="1859"/>
        <v>0</v>
      </c>
      <c r="P1606" s="458">
        <f t="shared" si="1859"/>
        <v>0</v>
      </c>
      <c r="Q1606" s="458">
        <f t="shared" si="1859"/>
        <v>0</v>
      </c>
      <c r="R1606" s="458">
        <f t="shared" si="1859"/>
        <v>0</v>
      </c>
      <c r="S1606" s="458">
        <f t="shared" si="1859"/>
        <v>0</v>
      </c>
      <c r="T1606" s="458">
        <f t="shared" si="1859"/>
        <v>268730520</v>
      </c>
      <c r="U1606" s="458"/>
      <c r="V1606" s="458"/>
      <c r="W1606" s="458"/>
      <c r="X1606" s="458">
        <f t="shared" ref="X1606:AA1606" si="1860">SUM(X1602:X1605)</f>
        <v>-13355000</v>
      </c>
      <c r="Y1606" s="458"/>
      <c r="Z1606" s="458">
        <f t="shared" si="1860"/>
        <v>-13355000</v>
      </c>
      <c r="AA1606" s="458">
        <f t="shared" si="1860"/>
        <v>255375520</v>
      </c>
      <c r="AB1606" s="458"/>
      <c r="AC1606" s="458"/>
      <c r="AD1606" s="458"/>
      <c r="AE1606" s="458">
        <f t="shared" ref="AE1606" si="1861">SUM(AE1602:AE1605)</f>
        <v>-26610000</v>
      </c>
      <c r="AF1606" s="458"/>
      <c r="AG1606" s="458">
        <f t="shared" ref="AG1606:AI1606" si="1862">SUM(AG1602:AG1605)</f>
        <v>-26610000</v>
      </c>
      <c r="AH1606" s="458">
        <f t="shared" si="1862"/>
        <v>228765520</v>
      </c>
      <c r="AI1606" s="458">
        <f t="shared" si="1862"/>
        <v>156504698</v>
      </c>
      <c r="AJ1606" s="770">
        <f>AI1606/AH1606*100</f>
        <v>68.41271271999382</v>
      </c>
    </row>
    <row r="1607" spans="1:36" ht="12.5" customHeight="1">
      <c r="A1607" s="40"/>
      <c r="B1607" s="40"/>
      <c r="C1607" s="124"/>
      <c r="D1607" s="124"/>
      <c r="E1607" s="124"/>
      <c r="F1607" s="41"/>
      <c r="G1607" s="41"/>
      <c r="H1607" s="63"/>
      <c r="I1607" s="41"/>
      <c r="J1607" s="543"/>
      <c r="K1607" s="542"/>
      <c r="L1607" s="205"/>
      <c r="M1607" s="205"/>
      <c r="N1607" s="205"/>
      <c r="O1607" s="205"/>
      <c r="P1607" s="205"/>
      <c r="Q1607" s="205"/>
      <c r="R1607" s="205"/>
      <c r="S1607" s="205"/>
      <c r="T1607" s="205"/>
      <c r="U1607" s="205"/>
      <c r="V1607" s="205"/>
      <c r="W1607" s="205"/>
      <c r="X1607" s="205"/>
      <c r="Y1607" s="205"/>
      <c r="Z1607" s="205"/>
      <c r="AA1607" s="205"/>
      <c r="AB1607" s="205"/>
      <c r="AC1607" s="205"/>
      <c r="AD1607" s="205"/>
      <c r="AE1607" s="205"/>
      <c r="AF1607" s="205"/>
      <c r="AG1607" s="205"/>
      <c r="AH1607" s="205"/>
      <c r="AI1607" s="205"/>
      <c r="AJ1607" s="747"/>
    </row>
    <row r="1608" spans="1:36" ht="12.5" customHeight="1">
      <c r="A1608" s="40"/>
      <c r="B1608" s="40">
        <v>2</v>
      </c>
      <c r="C1608" s="124"/>
      <c r="D1608" s="124"/>
      <c r="E1608" s="124"/>
      <c r="F1608" s="41"/>
      <c r="G1608" s="41" t="s">
        <v>397</v>
      </c>
      <c r="H1608" s="63"/>
      <c r="I1608" s="41"/>
      <c r="J1608" s="544"/>
      <c r="K1608" s="545"/>
      <c r="L1608" s="161"/>
      <c r="M1608" s="161"/>
      <c r="N1608" s="161"/>
      <c r="O1608" s="161"/>
      <c r="P1608" s="161"/>
      <c r="Q1608" s="161"/>
      <c r="R1608" s="161"/>
      <c r="S1608" s="161"/>
      <c r="T1608" s="161"/>
      <c r="U1608" s="161"/>
      <c r="V1608" s="161"/>
      <c r="W1608" s="161"/>
      <c r="X1608" s="161"/>
      <c r="Y1608" s="161"/>
      <c r="Z1608" s="161"/>
      <c r="AA1608" s="161"/>
      <c r="AB1608" s="161"/>
      <c r="AC1608" s="161"/>
      <c r="AD1608" s="161"/>
      <c r="AE1608" s="161"/>
      <c r="AF1608" s="161"/>
      <c r="AG1608" s="161"/>
      <c r="AH1608" s="161"/>
      <c r="AI1608" s="161"/>
      <c r="AJ1608" s="782"/>
    </row>
    <row r="1609" spans="1:36" ht="12.5" customHeight="1">
      <c r="A1609" s="40"/>
      <c r="B1609" s="40"/>
      <c r="C1609" s="124">
        <v>1</v>
      </c>
      <c r="D1609" s="124"/>
      <c r="E1609" s="124"/>
      <c r="F1609" s="41"/>
      <c r="G1609" s="41"/>
      <c r="H1609" s="163" t="s">
        <v>35</v>
      </c>
      <c r="I1609" s="66"/>
      <c r="J1609" s="547"/>
      <c r="K1609" s="453"/>
      <c r="L1609" s="526"/>
      <c r="M1609" s="526"/>
      <c r="N1609" s="526"/>
      <c r="O1609" s="526"/>
      <c r="P1609" s="526"/>
      <c r="Q1609" s="526"/>
      <c r="R1609" s="526"/>
      <c r="S1609" s="526"/>
      <c r="T1609" s="526"/>
      <c r="U1609" s="526"/>
      <c r="V1609" s="526"/>
      <c r="W1609" s="526"/>
      <c r="X1609" s="526"/>
      <c r="Y1609" s="526"/>
      <c r="Z1609" s="526"/>
      <c r="AA1609" s="526"/>
      <c r="AB1609" s="526"/>
      <c r="AC1609" s="526"/>
      <c r="AD1609" s="526"/>
      <c r="AE1609" s="526"/>
      <c r="AF1609" s="526"/>
      <c r="AG1609" s="526"/>
      <c r="AH1609" s="526"/>
      <c r="AI1609" s="526"/>
      <c r="AJ1609" s="779"/>
    </row>
    <row r="1610" spans="1:36" ht="12.5" customHeight="1">
      <c r="A1610" s="40"/>
      <c r="B1610" s="40"/>
      <c r="C1610" s="124"/>
      <c r="D1610" s="124">
        <v>3</v>
      </c>
      <c r="E1610" s="124" t="s">
        <v>199</v>
      </c>
      <c r="F1610" s="41"/>
      <c r="G1610" s="41"/>
      <c r="H1610" s="162"/>
      <c r="I1610" s="125" t="s">
        <v>116</v>
      </c>
      <c r="J1610" s="547">
        <v>2060611</v>
      </c>
      <c r="K1610" s="453"/>
      <c r="L1610" s="526">
        <f>SUM(J1610:K1610)</f>
        <v>2060611</v>
      </c>
      <c r="M1610" s="526"/>
      <c r="N1610" s="526"/>
      <c r="O1610" s="526"/>
      <c r="P1610" s="526"/>
      <c r="Q1610" s="526">
        <v>4380678</v>
      </c>
      <c r="R1610" s="526"/>
      <c r="S1610" s="217">
        <f t="shared" ref="S1610:S1612" si="1863">SUM(M1610:R1610)</f>
        <v>4380678</v>
      </c>
      <c r="T1610" s="217">
        <f t="shared" ref="T1610:T1612" si="1864">S1610+L1610</f>
        <v>6441289</v>
      </c>
      <c r="U1610" s="526"/>
      <c r="V1610" s="526"/>
      <c r="W1610" s="526"/>
      <c r="X1610" s="526"/>
      <c r="Y1610" s="526"/>
      <c r="Z1610" s="217">
        <f>SUM(U1610:Y1610)</f>
        <v>0</v>
      </c>
      <c r="AA1610" s="217">
        <f>Z1610+T1610</f>
        <v>6441289</v>
      </c>
      <c r="AB1610" s="526"/>
      <c r="AC1610" s="526"/>
      <c r="AD1610" s="526"/>
      <c r="AE1610" s="526">
        <v>1991196</v>
      </c>
      <c r="AF1610" s="526"/>
      <c r="AG1610" s="217">
        <f t="shared" ref="AG1610" si="1865">SUM(AB1610:AF1610)</f>
        <v>1991196</v>
      </c>
      <c r="AH1610" s="217">
        <f t="shared" ref="AH1610" si="1866">AG1610+AA1610</f>
        <v>8432485</v>
      </c>
      <c r="AI1610" s="217">
        <v>5941289</v>
      </c>
      <c r="AJ1610" s="764">
        <f>AI1610/AH1610*100</f>
        <v>70.45715468216072</v>
      </c>
    </row>
    <row r="1611" spans="1:36" ht="12.5" customHeight="1">
      <c r="A1611" s="40"/>
      <c r="B1611" s="40"/>
      <c r="C1611" s="124">
        <v>2</v>
      </c>
      <c r="D1611" s="124"/>
      <c r="E1611" s="124"/>
      <c r="F1611" s="41"/>
      <c r="G1611" s="41"/>
      <c r="H1611" s="66" t="s">
        <v>211</v>
      </c>
      <c r="I1611" s="125"/>
      <c r="J1611" s="547"/>
      <c r="K1611" s="525"/>
      <c r="L1611" s="526"/>
      <c r="M1611" s="526"/>
      <c r="N1611" s="526"/>
      <c r="O1611" s="526"/>
      <c r="P1611" s="526"/>
      <c r="Q1611" s="526"/>
      <c r="R1611" s="526"/>
      <c r="S1611" s="217"/>
      <c r="T1611" s="217"/>
      <c r="U1611" s="526"/>
      <c r="V1611" s="526"/>
      <c r="W1611" s="526"/>
      <c r="X1611" s="526"/>
      <c r="Y1611" s="526"/>
      <c r="Z1611" s="217"/>
      <c r="AA1611" s="217"/>
      <c r="AB1611" s="526"/>
      <c r="AC1611" s="526"/>
      <c r="AD1611" s="526"/>
      <c r="AE1611" s="526"/>
      <c r="AF1611" s="526"/>
      <c r="AG1611" s="217"/>
      <c r="AH1611" s="217"/>
      <c r="AI1611" s="217"/>
      <c r="AJ1611" s="764"/>
    </row>
    <row r="1612" spans="1:36" ht="12.5" customHeight="1">
      <c r="A1612" s="40"/>
      <c r="B1612" s="40"/>
      <c r="C1612" s="124"/>
      <c r="D1612" s="124">
        <v>6</v>
      </c>
      <c r="E1612" s="124" t="s">
        <v>199</v>
      </c>
      <c r="F1612" s="41"/>
      <c r="G1612" s="41"/>
      <c r="H1612" s="125"/>
      <c r="I1612" s="66" t="s">
        <v>213</v>
      </c>
      <c r="J1612" s="547"/>
      <c r="K1612" s="525">
        <v>257892601</v>
      </c>
      <c r="L1612" s="526">
        <f>SUM(J1612:K1612)</f>
        <v>257892601</v>
      </c>
      <c r="M1612" s="526"/>
      <c r="N1612" s="526"/>
      <c r="O1612" s="526"/>
      <c r="P1612" s="526"/>
      <c r="Q1612" s="526">
        <v>-4380678</v>
      </c>
      <c r="R1612" s="526"/>
      <c r="S1612" s="217">
        <f t="shared" si="1863"/>
        <v>-4380678</v>
      </c>
      <c r="T1612" s="217">
        <f t="shared" si="1864"/>
        <v>253511923</v>
      </c>
      <c r="U1612" s="526"/>
      <c r="V1612" s="526"/>
      <c r="W1612" s="526"/>
      <c r="X1612" s="526"/>
      <c r="Y1612" s="526"/>
      <c r="Z1612" s="217">
        <f>SUM(U1612:Y1612)</f>
        <v>0</v>
      </c>
      <c r="AA1612" s="217">
        <f>Z1612+T1612</f>
        <v>253511923</v>
      </c>
      <c r="AB1612" s="526"/>
      <c r="AC1612" s="526"/>
      <c r="AD1612" s="526"/>
      <c r="AE1612" s="526">
        <v>-1991196</v>
      </c>
      <c r="AF1612" s="526"/>
      <c r="AG1612" s="217">
        <f t="shared" ref="AG1612" si="1867">SUM(AB1612:AF1612)</f>
        <v>-1991196</v>
      </c>
      <c r="AH1612" s="217">
        <f t="shared" ref="AH1612" si="1868">AG1612+AA1612</f>
        <v>251520727</v>
      </c>
      <c r="AI1612" s="217"/>
      <c r="AJ1612" s="764"/>
    </row>
    <row r="1613" spans="1:36" ht="12.5" customHeight="1">
      <c r="A1613" s="40"/>
      <c r="B1613" s="40"/>
      <c r="C1613" s="124"/>
      <c r="D1613" s="124"/>
      <c r="E1613" s="124"/>
      <c r="F1613" s="41"/>
      <c r="G1613" s="41"/>
      <c r="H1613" s="63"/>
      <c r="I1613" s="41"/>
      <c r="J1613" s="547"/>
      <c r="K1613" s="453"/>
      <c r="L1613" s="526"/>
      <c r="M1613" s="526"/>
      <c r="N1613" s="526"/>
      <c r="O1613" s="526"/>
      <c r="P1613" s="526"/>
      <c r="Q1613" s="526"/>
      <c r="R1613" s="526"/>
      <c r="S1613" s="526"/>
      <c r="T1613" s="526"/>
      <c r="U1613" s="526"/>
      <c r="V1613" s="526"/>
      <c r="W1613" s="526"/>
      <c r="X1613" s="526"/>
      <c r="Y1613" s="526"/>
      <c r="Z1613" s="526"/>
      <c r="AA1613" s="526"/>
      <c r="AB1613" s="526"/>
      <c r="AC1613" s="526"/>
      <c r="AD1613" s="526"/>
      <c r="AE1613" s="526"/>
      <c r="AF1613" s="526"/>
      <c r="AG1613" s="526"/>
      <c r="AH1613" s="526"/>
      <c r="AI1613" s="526"/>
      <c r="AJ1613" s="779"/>
    </row>
    <row r="1614" spans="1:36" ht="14">
      <c r="A1614" s="40"/>
      <c r="B1614" s="40"/>
      <c r="C1614" s="124"/>
      <c r="D1614" s="124"/>
      <c r="E1614" s="124"/>
      <c r="F1614" s="173"/>
      <c r="G1614" s="64"/>
      <c r="H1614" s="65"/>
      <c r="I1614" s="64" t="s">
        <v>38</v>
      </c>
      <c r="J1614" s="548">
        <f>SUM(J1610:J1613)</f>
        <v>2060611</v>
      </c>
      <c r="K1614" s="457">
        <f>SUM(K1610:K1613)</f>
        <v>257892601</v>
      </c>
      <c r="L1614" s="458">
        <f>SUM(L1610:L1613)</f>
        <v>259953212</v>
      </c>
      <c r="M1614" s="458">
        <f t="shared" ref="M1614:T1614" si="1869">SUM(M1610:M1613)</f>
        <v>0</v>
      </c>
      <c r="N1614" s="458">
        <f t="shared" si="1869"/>
        <v>0</v>
      </c>
      <c r="O1614" s="458">
        <f t="shared" si="1869"/>
        <v>0</v>
      </c>
      <c r="P1614" s="458">
        <f t="shared" si="1869"/>
        <v>0</v>
      </c>
      <c r="Q1614" s="458">
        <f t="shared" si="1869"/>
        <v>0</v>
      </c>
      <c r="R1614" s="458">
        <f t="shared" si="1869"/>
        <v>0</v>
      </c>
      <c r="S1614" s="458">
        <f t="shared" si="1869"/>
        <v>0</v>
      </c>
      <c r="T1614" s="458">
        <f t="shared" si="1869"/>
        <v>259953212</v>
      </c>
      <c r="U1614" s="458"/>
      <c r="V1614" s="458"/>
      <c r="W1614" s="458"/>
      <c r="X1614" s="458"/>
      <c r="Y1614" s="458"/>
      <c r="Z1614" s="458">
        <f t="shared" ref="Z1614:AA1614" si="1870">SUM(Z1610:Z1613)</f>
        <v>0</v>
      </c>
      <c r="AA1614" s="458">
        <f t="shared" si="1870"/>
        <v>259953212</v>
      </c>
      <c r="AB1614" s="458"/>
      <c r="AC1614" s="458"/>
      <c r="AD1614" s="458"/>
      <c r="AE1614" s="458"/>
      <c r="AF1614" s="458"/>
      <c r="AG1614" s="458">
        <f t="shared" ref="AG1614:AI1614" si="1871">SUM(AG1610:AG1613)</f>
        <v>0</v>
      </c>
      <c r="AH1614" s="458">
        <f t="shared" si="1871"/>
        <v>259953212</v>
      </c>
      <c r="AI1614" s="458">
        <f t="shared" si="1871"/>
        <v>5941289</v>
      </c>
      <c r="AJ1614" s="770">
        <f>AI1614/AH1614*100</f>
        <v>2.285522442400135</v>
      </c>
    </row>
    <row r="1615" spans="1:36" ht="14">
      <c r="A1615" s="40"/>
      <c r="B1615" s="40"/>
      <c r="C1615" s="124"/>
      <c r="D1615" s="124"/>
      <c r="E1615" s="124"/>
      <c r="F1615" s="41"/>
      <c r="G1615" s="41"/>
      <c r="H1615" s="63"/>
      <c r="I1615" s="41"/>
      <c r="J1615" s="544"/>
      <c r="K1615" s="542"/>
      <c r="L1615" s="205"/>
      <c r="M1615" s="205"/>
      <c r="N1615" s="205"/>
      <c r="O1615" s="205"/>
      <c r="P1615" s="205"/>
      <c r="Q1615" s="205"/>
      <c r="R1615" s="205"/>
      <c r="S1615" s="205"/>
      <c r="T1615" s="205"/>
      <c r="U1615" s="205"/>
      <c r="V1615" s="205"/>
      <c r="W1615" s="205"/>
      <c r="X1615" s="205"/>
      <c r="Y1615" s="205"/>
      <c r="Z1615" s="205"/>
      <c r="AA1615" s="205"/>
      <c r="AB1615" s="205"/>
      <c r="AC1615" s="205"/>
      <c r="AD1615" s="205"/>
      <c r="AE1615" s="205"/>
      <c r="AF1615" s="205"/>
      <c r="AG1615" s="205"/>
      <c r="AH1615" s="205"/>
      <c r="AI1615" s="205"/>
      <c r="AJ1615" s="747"/>
    </row>
    <row r="1616" spans="1:36" ht="14">
      <c r="A1616" s="40"/>
      <c r="B1616" s="40">
        <v>3</v>
      </c>
      <c r="C1616" s="124"/>
      <c r="D1616" s="124"/>
      <c r="E1616" s="124"/>
      <c r="F1616" s="41"/>
      <c r="G1616" s="41" t="s">
        <v>398</v>
      </c>
      <c r="H1616" s="63"/>
      <c r="I1616" s="41"/>
      <c r="J1616" s="544"/>
      <c r="K1616" s="542"/>
      <c r="L1616" s="205"/>
      <c r="M1616" s="205"/>
      <c r="N1616" s="205"/>
      <c r="O1616" s="205"/>
      <c r="P1616" s="205"/>
      <c r="Q1616" s="205"/>
      <c r="R1616" s="205"/>
      <c r="S1616" s="205"/>
      <c r="T1616" s="205"/>
      <c r="U1616" s="205"/>
      <c r="V1616" s="205"/>
      <c r="W1616" s="205"/>
      <c r="X1616" s="205"/>
      <c r="Y1616" s="205"/>
      <c r="Z1616" s="205"/>
      <c r="AA1616" s="205"/>
      <c r="AB1616" s="205"/>
      <c r="AC1616" s="205"/>
      <c r="AD1616" s="205"/>
      <c r="AE1616" s="205"/>
      <c r="AF1616" s="205"/>
      <c r="AG1616" s="205"/>
      <c r="AH1616" s="205"/>
      <c r="AI1616" s="205"/>
      <c r="AJ1616" s="747"/>
    </row>
    <row r="1617" spans="1:36" ht="14">
      <c r="A1617" s="40"/>
      <c r="B1617" s="40"/>
      <c r="C1617" s="124">
        <v>1</v>
      </c>
      <c r="D1617" s="124"/>
      <c r="E1617" s="124"/>
      <c r="F1617" s="41"/>
      <c r="G1617" s="41"/>
      <c r="H1617" s="163" t="s">
        <v>35</v>
      </c>
      <c r="I1617" s="66"/>
      <c r="J1617" s="547"/>
      <c r="K1617" s="453"/>
      <c r="L1617" s="526"/>
      <c r="M1617" s="526"/>
      <c r="N1617" s="526"/>
      <c r="O1617" s="526"/>
      <c r="P1617" s="526"/>
      <c r="Q1617" s="526"/>
      <c r="R1617" s="526"/>
      <c r="S1617" s="526"/>
      <c r="T1617" s="526"/>
      <c r="U1617" s="526"/>
      <c r="V1617" s="526"/>
      <c r="W1617" s="526"/>
      <c r="X1617" s="526"/>
      <c r="Y1617" s="526"/>
      <c r="Z1617" s="526"/>
      <c r="AA1617" s="526"/>
      <c r="AB1617" s="526"/>
      <c r="AC1617" s="526"/>
      <c r="AD1617" s="526"/>
      <c r="AE1617" s="526"/>
      <c r="AF1617" s="526"/>
      <c r="AG1617" s="526"/>
      <c r="AH1617" s="526"/>
      <c r="AI1617" s="526"/>
      <c r="AJ1617" s="779"/>
    </row>
    <row r="1618" spans="1:36" ht="14">
      <c r="A1618" s="40"/>
      <c r="B1618" s="40"/>
      <c r="C1618" s="124"/>
      <c r="D1618" s="124">
        <v>3</v>
      </c>
      <c r="E1618" s="124" t="s">
        <v>199</v>
      </c>
      <c r="F1618" s="41"/>
      <c r="G1618" s="41"/>
      <c r="H1618" s="162"/>
      <c r="I1618" s="125" t="s">
        <v>116</v>
      </c>
      <c r="J1618" s="547">
        <v>7344150</v>
      </c>
      <c r="K1618" s="453"/>
      <c r="L1618" s="526">
        <f>SUM(J1618:K1618)</f>
        <v>7344150</v>
      </c>
      <c r="M1618" s="526"/>
      <c r="N1618" s="526"/>
      <c r="O1618" s="526"/>
      <c r="P1618" s="526"/>
      <c r="Q1618" s="526"/>
      <c r="R1618" s="526"/>
      <c r="S1618" s="217">
        <f t="shared" ref="S1618:S1620" si="1872">SUM(M1618:R1618)</f>
        <v>0</v>
      </c>
      <c r="T1618" s="217">
        <f t="shared" ref="T1618:T1620" si="1873">S1618+L1618</f>
        <v>7344150</v>
      </c>
      <c r="U1618" s="526"/>
      <c r="V1618" s="526"/>
      <c r="W1618" s="526"/>
      <c r="X1618" s="526"/>
      <c r="Y1618" s="526"/>
      <c r="Z1618" s="217">
        <f>SUM(U1618:Y1618)</f>
        <v>0</v>
      </c>
      <c r="AA1618" s="217">
        <f>Z1618+T1618</f>
        <v>7344150</v>
      </c>
      <c r="AB1618" s="526"/>
      <c r="AC1618" s="526"/>
      <c r="AD1618" s="526"/>
      <c r="AE1618" s="526">
        <v>81585481</v>
      </c>
      <c r="AF1618" s="526"/>
      <c r="AG1618" s="217">
        <f t="shared" ref="AG1618" si="1874">SUM(AB1618:AF1618)</f>
        <v>81585481</v>
      </c>
      <c r="AH1618" s="217">
        <f t="shared" ref="AH1618" si="1875">AG1618+AA1618</f>
        <v>88929631</v>
      </c>
      <c r="AI1618" s="217">
        <v>7077300</v>
      </c>
      <c r="AJ1618" s="764">
        <f>AI1618/AH1618*100</f>
        <v>7.9583148163518196</v>
      </c>
    </row>
    <row r="1619" spans="1:36" ht="14">
      <c r="A1619" s="40"/>
      <c r="B1619" s="40"/>
      <c r="C1619" s="124">
        <v>2</v>
      </c>
      <c r="D1619" s="124"/>
      <c r="E1619" s="124"/>
      <c r="F1619" s="41"/>
      <c r="G1619" s="41"/>
      <c r="H1619" s="66" t="s">
        <v>211</v>
      </c>
      <c r="I1619" s="125"/>
      <c r="J1619" s="547"/>
      <c r="K1619" s="525"/>
      <c r="L1619" s="526"/>
      <c r="M1619" s="526"/>
      <c r="N1619" s="526"/>
      <c r="O1619" s="526"/>
      <c r="P1619" s="526"/>
      <c r="Q1619" s="526"/>
      <c r="R1619" s="526"/>
      <c r="S1619" s="217"/>
      <c r="T1619" s="217"/>
      <c r="U1619" s="526"/>
      <c r="V1619" s="526"/>
      <c r="W1619" s="526"/>
      <c r="X1619" s="526"/>
      <c r="Y1619" s="526"/>
      <c r="Z1619" s="217"/>
      <c r="AA1619" s="217"/>
      <c r="AB1619" s="526"/>
      <c r="AC1619" s="526"/>
      <c r="AD1619" s="526"/>
      <c r="AE1619" s="526"/>
      <c r="AF1619" s="526"/>
      <c r="AG1619" s="217"/>
      <c r="AH1619" s="217"/>
      <c r="AI1619" s="217"/>
      <c r="AJ1619" s="764"/>
    </row>
    <row r="1620" spans="1:36" ht="14">
      <c r="A1620" s="40"/>
      <c r="B1620" s="40"/>
      <c r="C1620" s="124"/>
      <c r="D1620" s="124">
        <v>6</v>
      </c>
      <c r="E1620" s="124" t="s">
        <v>199</v>
      </c>
      <c r="F1620" s="41"/>
      <c r="G1620" s="41"/>
      <c r="H1620" s="125"/>
      <c r="I1620" s="66" t="s">
        <v>213</v>
      </c>
      <c r="J1620" s="547"/>
      <c r="K1620" s="525">
        <v>340195520</v>
      </c>
      <c r="L1620" s="526">
        <f>SUM(J1620:K1620)</f>
        <v>340195520</v>
      </c>
      <c r="M1620" s="526"/>
      <c r="N1620" s="526"/>
      <c r="O1620" s="526"/>
      <c r="P1620" s="526"/>
      <c r="Q1620" s="526"/>
      <c r="R1620" s="526"/>
      <c r="S1620" s="217">
        <f t="shared" si="1872"/>
        <v>0</v>
      </c>
      <c r="T1620" s="217">
        <f t="shared" si="1873"/>
        <v>340195520</v>
      </c>
      <c r="U1620" s="526"/>
      <c r="V1620" s="526"/>
      <c r="W1620" s="526"/>
      <c r="X1620" s="526"/>
      <c r="Y1620" s="526"/>
      <c r="Z1620" s="217">
        <f>SUM(U1620:Y1620)</f>
        <v>0</v>
      </c>
      <c r="AA1620" s="217">
        <f>Z1620+T1620</f>
        <v>340195520</v>
      </c>
      <c r="AB1620" s="526"/>
      <c r="AC1620" s="526"/>
      <c r="AD1620" s="526"/>
      <c r="AE1620" s="526">
        <v>-27946104</v>
      </c>
      <c r="AF1620" s="526"/>
      <c r="AG1620" s="217">
        <f t="shared" ref="AG1620" si="1876">SUM(AB1620:AF1620)</f>
        <v>-27946104</v>
      </c>
      <c r="AH1620" s="217">
        <f t="shared" ref="AH1620" si="1877">AG1620+AA1620</f>
        <v>312249416</v>
      </c>
      <c r="AI1620" s="217"/>
      <c r="AJ1620" s="764"/>
    </row>
    <row r="1621" spans="1:36" ht="14">
      <c r="A1621" s="40"/>
      <c r="B1621" s="40"/>
      <c r="C1621" s="124"/>
      <c r="D1621" s="124"/>
      <c r="E1621" s="124"/>
      <c r="F1621" s="41"/>
      <c r="G1621" s="41"/>
      <c r="H1621" s="63"/>
      <c r="I1621" s="41"/>
      <c r="J1621" s="544"/>
      <c r="K1621" s="542"/>
      <c r="L1621" s="205"/>
      <c r="M1621" s="205"/>
      <c r="N1621" s="205"/>
      <c r="O1621" s="205"/>
      <c r="P1621" s="205"/>
      <c r="Q1621" s="205"/>
      <c r="R1621" s="205"/>
      <c r="S1621" s="205"/>
      <c r="T1621" s="205"/>
      <c r="U1621" s="205"/>
      <c r="V1621" s="205"/>
      <c r="W1621" s="205"/>
      <c r="X1621" s="205"/>
      <c r="Y1621" s="205"/>
      <c r="Z1621" s="205"/>
      <c r="AA1621" s="205"/>
      <c r="AB1621" s="205"/>
      <c r="AC1621" s="205"/>
      <c r="AD1621" s="205"/>
      <c r="AE1621" s="205"/>
      <c r="AF1621" s="205"/>
      <c r="AG1621" s="205"/>
      <c r="AH1621" s="205"/>
      <c r="AI1621" s="205"/>
      <c r="AJ1621" s="747"/>
    </row>
    <row r="1622" spans="1:36" ht="14">
      <c r="A1622" s="40"/>
      <c r="B1622" s="40"/>
      <c r="C1622" s="124"/>
      <c r="D1622" s="124"/>
      <c r="E1622" s="124"/>
      <c r="F1622" s="173"/>
      <c r="G1622" s="64"/>
      <c r="H1622" s="65"/>
      <c r="I1622" s="64" t="s">
        <v>38</v>
      </c>
      <c r="J1622" s="548">
        <f>SUM(J1618:J1621)</f>
        <v>7344150</v>
      </c>
      <c r="K1622" s="457">
        <f>SUM(K1618:K1621)</f>
        <v>340195520</v>
      </c>
      <c r="L1622" s="458">
        <f>SUM(L1618:L1621)</f>
        <v>347539670</v>
      </c>
      <c r="M1622" s="458">
        <f t="shared" ref="M1622:T1622" si="1878">SUM(M1618:M1621)</f>
        <v>0</v>
      </c>
      <c r="N1622" s="458">
        <f t="shared" si="1878"/>
        <v>0</v>
      </c>
      <c r="O1622" s="458">
        <f t="shared" si="1878"/>
        <v>0</v>
      </c>
      <c r="P1622" s="458">
        <f t="shared" si="1878"/>
        <v>0</v>
      </c>
      <c r="Q1622" s="458">
        <f t="shared" si="1878"/>
        <v>0</v>
      </c>
      <c r="R1622" s="458">
        <f t="shared" si="1878"/>
        <v>0</v>
      </c>
      <c r="S1622" s="458">
        <f t="shared" si="1878"/>
        <v>0</v>
      </c>
      <c r="T1622" s="458">
        <f t="shared" si="1878"/>
        <v>347539670</v>
      </c>
      <c r="U1622" s="458"/>
      <c r="V1622" s="458"/>
      <c r="W1622" s="458"/>
      <c r="X1622" s="458"/>
      <c r="Y1622" s="458"/>
      <c r="Z1622" s="458">
        <f t="shared" ref="Z1622:AA1622" si="1879">SUM(Z1618:Z1621)</f>
        <v>0</v>
      </c>
      <c r="AA1622" s="458">
        <f t="shared" si="1879"/>
        <v>347539670</v>
      </c>
      <c r="AB1622" s="458"/>
      <c r="AC1622" s="458"/>
      <c r="AD1622" s="458"/>
      <c r="AE1622" s="458">
        <f t="shared" ref="AE1622:AI1622" si="1880">SUM(AE1618:AE1621)</f>
        <v>53639377</v>
      </c>
      <c r="AF1622" s="458"/>
      <c r="AG1622" s="458">
        <f t="shared" si="1880"/>
        <v>53639377</v>
      </c>
      <c r="AH1622" s="458">
        <f t="shared" si="1880"/>
        <v>401179047</v>
      </c>
      <c r="AI1622" s="458">
        <f t="shared" si="1880"/>
        <v>7077300</v>
      </c>
      <c r="AJ1622" s="770">
        <f>AI1622/AH1622*100</f>
        <v>1.7641250341770716</v>
      </c>
    </row>
    <row r="1623" spans="1:36" ht="12.5" customHeight="1">
      <c r="A1623" s="40"/>
      <c r="B1623" s="40"/>
      <c r="C1623" s="124"/>
      <c r="D1623" s="124"/>
      <c r="E1623" s="124"/>
      <c r="F1623" s="41"/>
      <c r="G1623" s="41"/>
      <c r="H1623" s="63"/>
      <c r="I1623" s="41"/>
      <c r="J1623" s="544"/>
      <c r="K1623" s="542"/>
      <c r="L1623" s="205"/>
      <c r="M1623" s="205"/>
      <c r="N1623" s="205"/>
      <c r="O1623" s="205"/>
      <c r="P1623" s="205"/>
      <c r="Q1623" s="205"/>
      <c r="R1623" s="205"/>
      <c r="S1623" s="205"/>
      <c r="T1623" s="205"/>
      <c r="U1623" s="205"/>
      <c r="V1623" s="205"/>
      <c r="W1623" s="205"/>
      <c r="X1623" s="205"/>
      <c r="Y1623" s="205"/>
      <c r="Z1623" s="205"/>
      <c r="AA1623" s="205"/>
      <c r="AB1623" s="205"/>
      <c r="AC1623" s="205"/>
      <c r="AD1623" s="205"/>
      <c r="AE1623" s="205"/>
      <c r="AF1623" s="205"/>
      <c r="AG1623" s="205"/>
      <c r="AH1623" s="205"/>
      <c r="AI1623" s="205"/>
      <c r="AJ1623" s="747"/>
    </row>
    <row r="1624" spans="1:36" ht="12.5" customHeight="1">
      <c r="A1624" s="40"/>
      <c r="B1624" s="40">
        <v>4</v>
      </c>
      <c r="C1624" s="124"/>
      <c r="D1624" s="124"/>
      <c r="E1624" s="124"/>
      <c r="F1624" s="41"/>
      <c r="G1624" s="41" t="s">
        <v>399</v>
      </c>
      <c r="H1624" s="63"/>
      <c r="I1624" s="41"/>
      <c r="J1624" s="544"/>
      <c r="K1624" s="542"/>
      <c r="L1624" s="205"/>
      <c r="M1624" s="205"/>
      <c r="N1624" s="205"/>
      <c r="O1624" s="205"/>
      <c r="P1624" s="205"/>
      <c r="Q1624" s="205"/>
      <c r="R1624" s="205"/>
      <c r="S1624" s="205"/>
      <c r="T1624" s="205"/>
      <c r="U1624" s="205"/>
      <c r="V1624" s="205"/>
      <c r="W1624" s="205"/>
      <c r="X1624" s="205"/>
      <c r="Y1624" s="205"/>
      <c r="Z1624" s="205"/>
      <c r="AA1624" s="205"/>
      <c r="AB1624" s="205"/>
      <c r="AC1624" s="205"/>
      <c r="AD1624" s="205"/>
      <c r="AE1624" s="205"/>
      <c r="AF1624" s="205"/>
      <c r="AG1624" s="205"/>
      <c r="AH1624" s="205"/>
      <c r="AI1624" s="205"/>
      <c r="AJ1624" s="747"/>
    </row>
    <row r="1625" spans="1:36" ht="12.5" customHeight="1">
      <c r="A1625" s="40"/>
      <c r="B1625" s="40"/>
      <c r="C1625" s="124">
        <v>1</v>
      </c>
      <c r="D1625" s="124"/>
      <c r="E1625" s="124"/>
      <c r="F1625" s="41"/>
      <c r="G1625" s="41"/>
      <c r="H1625" s="163" t="s">
        <v>35</v>
      </c>
      <c r="I1625" s="66"/>
      <c r="J1625" s="547"/>
      <c r="K1625" s="453"/>
      <c r="L1625" s="526"/>
      <c r="M1625" s="526"/>
      <c r="N1625" s="526"/>
      <c r="O1625" s="526"/>
      <c r="P1625" s="526"/>
      <c r="Q1625" s="526"/>
      <c r="R1625" s="526"/>
      <c r="S1625" s="526"/>
      <c r="T1625" s="526"/>
      <c r="U1625" s="526"/>
      <c r="V1625" s="526"/>
      <c r="W1625" s="526"/>
      <c r="X1625" s="526"/>
      <c r="Y1625" s="526"/>
      <c r="Z1625" s="526"/>
      <c r="AA1625" s="526"/>
      <c r="AB1625" s="526"/>
      <c r="AC1625" s="526"/>
      <c r="AD1625" s="526"/>
      <c r="AE1625" s="526"/>
      <c r="AF1625" s="526"/>
      <c r="AG1625" s="526"/>
      <c r="AH1625" s="526"/>
      <c r="AI1625" s="526"/>
      <c r="AJ1625" s="779"/>
    </row>
    <row r="1626" spans="1:36" ht="12.5" customHeight="1">
      <c r="A1626" s="40"/>
      <c r="B1626" s="40"/>
      <c r="C1626" s="124"/>
      <c r="D1626" s="124">
        <v>3</v>
      </c>
      <c r="E1626" s="124" t="s">
        <v>199</v>
      </c>
      <c r="F1626" s="41"/>
      <c r="G1626" s="41"/>
      <c r="H1626" s="162"/>
      <c r="I1626" s="125" t="s">
        <v>116</v>
      </c>
      <c r="J1626" s="547">
        <v>7444050</v>
      </c>
      <c r="K1626" s="453"/>
      <c r="L1626" s="526">
        <f>SUM(J1626:K1626)</f>
        <v>7444050</v>
      </c>
      <c r="M1626" s="526"/>
      <c r="N1626" s="526"/>
      <c r="O1626" s="526"/>
      <c r="P1626" s="526"/>
      <c r="Q1626" s="526"/>
      <c r="R1626" s="526"/>
      <c r="S1626" s="217">
        <f t="shared" ref="S1626:S1628" si="1881">SUM(M1626:R1626)</f>
        <v>0</v>
      </c>
      <c r="T1626" s="217">
        <f t="shared" ref="T1626:T1628" si="1882">S1626+L1626</f>
        <v>7444050</v>
      </c>
      <c r="U1626" s="526"/>
      <c r="V1626" s="526"/>
      <c r="W1626" s="526"/>
      <c r="X1626" s="526"/>
      <c r="Y1626" s="526"/>
      <c r="Z1626" s="217">
        <f>SUM(U1626:Y1626)</f>
        <v>0</v>
      </c>
      <c r="AA1626" s="217">
        <f>Z1626+T1626</f>
        <v>7444050</v>
      </c>
      <c r="AB1626" s="526"/>
      <c r="AC1626" s="526"/>
      <c r="AD1626" s="526">
        <v>-99900</v>
      </c>
      <c r="AE1626" s="526">
        <v>99231797</v>
      </c>
      <c r="AF1626" s="526"/>
      <c r="AG1626" s="217">
        <f t="shared" ref="AG1626" si="1883">SUM(AB1626:AF1626)</f>
        <v>99131897</v>
      </c>
      <c r="AH1626" s="217">
        <f t="shared" ref="AH1626" si="1884">AG1626+AA1626</f>
        <v>106575947</v>
      </c>
      <c r="AI1626" s="217">
        <v>7077300</v>
      </c>
      <c r="AJ1626" s="764">
        <f>AI1626/AH1626*100</f>
        <v>6.6406165736439577</v>
      </c>
    </row>
    <row r="1627" spans="1:36" ht="12.5" customHeight="1">
      <c r="A1627" s="40"/>
      <c r="B1627" s="40"/>
      <c r="C1627" s="124">
        <v>2</v>
      </c>
      <c r="D1627" s="124"/>
      <c r="E1627" s="124"/>
      <c r="F1627" s="41"/>
      <c r="G1627" s="41"/>
      <c r="H1627" s="66" t="s">
        <v>211</v>
      </c>
      <c r="I1627" s="125"/>
      <c r="J1627" s="547"/>
      <c r="K1627" s="525"/>
      <c r="L1627" s="526"/>
      <c r="M1627" s="526"/>
      <c r="N1627" s="526"/>
      <c r="O1627" s="526"/>
      <c r="P1627" s="526"/>
      <c r="Q1627" s="526"/>
      <c r="R1627" s="526"/>
      <c r="S1627" s="217"/>
      <c r="T1627" s="217"/>
      <c r="U1627" s="526"/>
      <c r="V1627" s="526"/>
      <c r="W1627" s="526"/>
      <c r="X1627" s="526"/>
      <c r="Y1627" s="526"/>
      <c r="Z1627" s="217"/>
      <c r="AA1627" s="217"/>
      <c r="AB1627" s="526"/>
      <c r="AC1627" s="526"/>
      <c r="AD1627" s="526"/>
      <c r="AE1627" s="526"/>
      <c r="AF1627" s="526"/>
      <c r="AG1627" s="217"/>
      <c r="AH1627" s="217"/>
      <c r="AI1627" s="217"/>
      <c r="AJ1627" s="764"/>
    </row>
    <row r="1628" spans="1:36" ht="12.5" customHeight="1">
      <c r="A1628" s="40"/>
      <c r="B1628" s="40"/>
      <c r="C1628" s="124"/>
      <c r="D1628" s="124">
        <v>6</v>
      </c>
      <c r="E1628" s="124" t="s">
        <v>199</v>
      </c>
      <c r="F1628" s="41"/>
      <c r="G1628" s="41"/>
      <c r="H1628" s="125"/>
      <c r="I1628" s="66" t="s">
        <v>213</v>
      </c>
      <c r="J1628" s="547"/>
      <c r="K1628" s="525">
        <v>357754875</v>
      </c>
      <c r="L1628" s="526">
        <f>SUM(J1628:K1628)</f>
        <v>357754875</v>
      </c>
      <c r="M1628" s="526"/>
      <c r="N1628" s="526"/>
      <c r="O1628" s="526"/>
      <c r="P1628" s="526"/>
      <c r="Q1628" s="526"/>
      <c r="R1628" s="526"/>
      <c r="S1628" s="217">
        <f t="shared" si="1881"/>
        <v>0</v>
      </c>
      <c r="T1628" s="217">
        <f t="shared" si="1882"/>
        <v>357754875</v>
      </c>
      <c r="U1628" s="526"/>
      <c r="V1628" s="526"/>
      <c r="W1628" s="526"/>
      <c r="X1628" s="526">
        <v>136924030</v>
      </c>
      <c r="Y1628" s="526"/>
      <c r="Z1628" s="217">
        <f>SUM(U1628:Y1628)</f>
        <v>136924030</v>
      </c>
      <c r="AA1628" s="217">
        <f>Z1628+T1628</f>
        <v>494678905</v>
      </c>
      <c r="AB1628" s="526"/>
      <c r="AC1628" s="526"/>
      <c r="AD1628" s="526">
        <v>-16289310</v>
      </c>
      <c r="AE1628" s="526">
        <v>-99231796</v>
      </c>
      <c r="AF1628" s="526"/>
      <c r="AG1628" s="217">
        <f t="shared" ref="AG1628" si="1885">SUM(AB1628:AF1628)</f>
        <v>-115521106</v>
      </c>
      <c r="AH1628" s="217">
        <f t="shared" ref="AH1628" si="1886">AG1628+AA1628</f>
        <v>379157799</v>
      </c>
      <c r="AI1628" s="217"/>
      <c r="AJ1628" s="764"/>
    </row>
    <row r="1629" spans="1:36" ht="12.5" customHeight="1">
      <c r="A1629" s="40"/>
      <c r="B1629" s="40"/>
      <c r="C1629" s="124"/>
      <c r="D1629" s="124"/>
      <c r="E1629" s="124"/>
      <c r="F1629" s="41"/>
      <c r="G1629" s="41"/>
      <c r="H1629" s="63"/>
      <c r="I1629" s="41"/>
      <c r="J1629" s="544"/>
      <c r="K1629" s="542"/>
      <c r="L1629" s="205"/>
      <c r="M1629" s="205"/>
      <c r="N1629" s="205"/>
      <c r="O1629" s="205"/>
      <c r="P1629" s="205"/>
      <c r="Q1629" s="205"/>
      <c r="R1629" s="205"/>
      <c r="S1629" s="205"/>
      <c r="T1629" s="205"/>
      <c r="U1629" s="205"/>
      <c r="V1629" s="205"/>
      <c r="W1629" s="205"/>
      <c r="X1629" s="205"/>
      <c r="Y1629" s="205"/>
      <c r="Z1629" s="205"/>
      <c r="AA1629" s="205"/>
      <c r="AB1629" s="205"/>
      <c r="AC1629" s="205"/>
      <c r="AD1629" s="205"/>
      <c r="AE1629" s="205"/>
      <c r="AF1629" s="205"/>
      <c r="AG1629" s="205"/>
      <c r="AH1629" s="205"/>
      <c r="AI1629" s="205"/>
      <c r="AJ1629" s="747"/>
    </row>
    <row r="1630" spans="1:36" ht="12.5" customHeight="1">
      <c r="A1630" s="40"/>
      <c r="B1630" s="40"/>
      <c r="C1630" s="124"/>
      <c r="D1630" s="124"/>
      <c r="E1630" s="124"/>
      <c r="F1630" s="173"/>
      <c r="G1630" s="64"/>
      <c r="H1630" s="65"/>
      <c r="I1630" s="64" t="s">
        <v>38</v>
      </c>
      <c r="J1630" s="548">
        <f>SUM(J1626:J1629)</f>
        <v>7444050</v>
      </c>
      <c r="K1630" s="457">
        <f>SUM(K1626:K1629)</f>
        <v>357754875</v>
      </c>
      <c r="L1630" s="458">
        <f>SUM(L1626:L1629)</f>
        <v>365198925</v>
      </c>
      <c r="M1630" s="458">
        <f t="shared" ref="M1630:T1630" si="1887">SUM(M1626:M1629)</f>
        <v>0</v>
      </c>
      <c r="N1630" s="458">
        <f t="shared" si="1887"/>
        <v>0</v>
      </c>
      <c r="O1630" s="458">
        <f t="shared" si="1887"/>
        <v>0</v>
      </c>
      <c r="P1630" s="458">
        <f t="shared" si="1887"/>
        <v>0</v>
      </c>
      <c r="Q1630" s="458">
        <f t="shared" si="1887"/>
        <v>0</v>
      </c>
      <c r="R1630" s="458">
        <f t="shared" si="1887"/>
        <v>0</v>
      </c>
      <c r="S1630" s="458">
        <f t="shared" si="1887"/>
        <v>0</v>
      </c>
      <c r="T1630" s="458">
        <f t="shared" si="1887"/>
        <v>365198925</v>
      </c>
      <c r="U1630" s="458"/>
      <c r="V1630" s="458"/>
      <c r="W1630" s="458"/>
      <c r="X1630" s="458">
        <f t="shared" ref="X1630:AA1630" si="1888">SUM(X1626:X1629)</f>
        <v>136924030</v>
      </c>
      <c r="Y1630" s="458"/>
      <c r="Z1630" s="458">
        <f t="shared" si="1888"/>
        <v>136924030</v>
      </c>
      <c r="AA1630" s="458">
        <f t="shared" si="1888"/>
        <v>502122955</v>
      </c>
      <c r="AB1630" s="458"/>
      <c r="AC1630" s="458"/>
      <c r="AD1630" s="458">
        <f t="shared" ref="AD1630:AE1630" si="1889">SUM(AD1626:AD1629)</f>
        <v>-16389210</v>
      </c>
      <c r="AE1630" s="458">
        <f t="shared" si="1889"/>
        <v>1</v>
      </c>
      <c r="AF1630" s="458"/>
      <c r="AG1630" s="458">
        <f t="shared" ref="AG1630:AI1630" si="1890">SUM(AG1626:AG1629)</f>
        <v>-16389209</v>
      </c>
      <c r="AH1630" s="458">
        <f t="shared" si="1890"/>
        <v>485733746</v>
      </c>
      <c r="AI1630" s="458">
        <f t="shared" si="1890"/>
        <v>7077300</v>
      </c>
      <c r="AJ1630" s="770">
        <f>AI1630/AH1630*100</f>
        <v>1.4570328000229162</v>
      </c>
    </row>
    <row r="1631" spans="1:36" ht="12.5" customHeight="1">
      <c r="A1631" s="40"/>
      <c r="B1631" s="40"/>
      <c r="C1631" s="124"/>
      <c r="D1631" s="124"/>
      <c r="E1631" s="124"/>
      <c r="F1631" s="41"/>
      <c r="G1631" s="41"/>
      <c r="H1631" s="63"/>
      <c r="I1631" s="41"/>
      <c r="J1631" s="544"/>
      <c r="K1631" s="542"/>
      <c r="L1631" s="205"/>
      <c r="M1631" s="205"/>
      <c r="N1631" s="205"/>
      <c r="O1631" s="205"/>
      <c r="P1631" s="205"/>
      <c r="Q1631" s="205"/>
      <c r="R1631" s="205"/>
      <c r="S1631" s="205"/>
      <c r="T1631" s="205"/>
      <c r="U1631" s="205"/>
      <c r="V1631" s="205"/>
      <c r="W1631" s="205"/>
      <c r="X1631" s="205"/>
      <c r="Y1631" s="205"/>
      <c r="Z1631" s="205"/>
      <c r="AA1631" s="205"/>
      <c r="AB1631" s="205"/>
      <c r="AC1631" s="205"/>
      <c r="AD1631" s="205"/>
      <c r="AE1631" s="205"/>
      <c r="AF1631" s="205"/>
      <c r="AG1631" s="205"/>
      <c r="AH1631" s="205"/>
      <c r="AI1631" s="205"/>
      <c r="AJ1631" s="747"/>
    </row>
    <row r="1632" spans="1:36" ht="12.5" customHeight="1">
      <c r="A1632" s="40"/>
      <c r="B1632" s="40">
        <v>5</v>
      </c>
      <c r="C1632" s="124"/>
      <c r="D1632" s="124"/>
      <c r="E1632" s="124"/>
      <c r="F1632" s="41"/>
      <c r="G1632" s="41" t="s">
        <v>459</v>
      </c>
      <c r="H1632" s="63"/>
      <c r="I1632" s="41"/>
      <c r="J1632" s="544"/>
      <c r="K1632" s="542"/>
      <c r="L1632" s="205"/>
      <c r="M1632" s="205"/>
      <c r="N1632" s="205"/>
      <c r="O1632" s="205"/>
      <c r="P1632" s="205"/>
      <c r="Q1632" s="205"/>
      <c r="R1632" s="205"/>
      <c r="S1632" s="205"/>
      <c r="T1632" s="205"/>
      <c r="U1632" s="205"/>
      <c r="V1632" s="205"/>
      <c r="W1632" s="205"/>
      <c r="X1632" s="205"/>
      <c r="Y1632" s="205"/>
      <c r="Z1632" s="205"/>
      <c r="AA1632" s="205"/>
      <c r="AB1632" s="205"/>
      <c r="AC1632" s="205"/>
      <c r="AD1632" s="205"/>
      <c r="AE1632" s="205"/>
      <c r="AF1632" s="205"/>
      <c r="AG1632" s="205"/>
      <c r="AH1632" s="205"/>
      <c r="AI1632" s="205"/>
      <c r="AJ1632" s="747"/>
    </row>
    <row r="1633" spans="1:36" ht="12.5" customHeight="1">
      <c r="A1633" s="40"/>
      <c r="B1633" s="40"/>
      <c r="C1633" s="124">
        <v>1</v>
      </c>
      <c r="D1633" s="124"/>
      <c r="E1633" s="124"/>
      <c r="F1633" s="41"/>
      <c r="G1633" s="41"/>
      <c r="H1633" s="163" t="s">
        <v>35</v>
      </c>
      <c r="I1633" s="66"/>
      <c r="J1633" s="547"/>
      <c r="K1633" s="453"/>
      <c r="L1633" s="526"/>
      <c r="M1633" s="526"/>
      <c r="N1633" s="526"/>
      <c r="O1633" s="526"/>
      <c r="P1633" s="526"/>
      <c r="Q1633" s="526"/>
      <c r="R1633" s="526"/>
      <c r="S1633" s="526"/>
      <c r="T1633" s="526"/>
      <c r="U1633" s="526"/>
      <c r="V1633" s="526"/>
      <c r="W1633" s="526"/>
      <c r="X1633" s="526"/>
      <c r="Y1633" s="526"/>
      <c r="Z1633" s="526"/>
      <c r="AA1633" s="526"/>
      <c r="AB1633" s="526"/>
      <c r="AC1633" s="526"/>
      <c r="AD1633" s="526"/>
      <c r="AE1633" s="526"/>
      <c r="AF1633" s="526"/>
      <c r="AG1633" s="526"/>
      <c r="AH1633" s="526"/>
      <c r="AI1633" s="526"/>
      <c r="AJ1633" s="779"/>
    </row>
    <row r="1634" spans="1:36" ht="12.5" customHeight="1">
      <c r="A1634" s="40"/>
      <c r="B1634" s="40"/>
      <c r="C1634" s="124"/>
      <c r="D1634" s="124">
        <v>3</v>
      </c>
      <c r="E1634" s="124" t="s">
        <v>199</v>
      </c>
      <c r="F1634" s="41"/>
      <c r="G1634" s="41"/>
      <c r="H1634" s="162"/>
      <c r="I1634" s="125" t="s">
        <v>116</v>
      </c>
      <c r="J1634" s="547">
        <v>100000000</v>
      </c>
      <c r="K1634" s="453"/>
      <c r="L1634" s="526">
        <f>SUM(J1634:K1634)</f>
        <v>100000000</v>
      </c>
      <c r="M1634" s="526"/>
      <c r="N1634" s="526"/>
      <c r="O1634" s="526"/>
      <c r="P1634" s="526"/>
      <c r="Q1634" s="526"/>
      <c r="R1634" s="526"/>
      <c r="S1634" s="217">
        <f t="shared" ref="S1634:S1636" si="1891">SUM(M1634:R1634)</f>
        <v>0</v>
      </c>
      <c r="T1634" s="217">
        <f t="shared" ref="T1634:T1636" si="1892">S1634+L1634</f>
        <v>100000000</v>
      </c>
      <c r="U1634" s="526"/>
      <c r="V1634" s="526"/>
      <c r="W1634" s="526"/>
      <c r="X1634" s="526"/>
      <c r="Y1634" s="526"/>
      <c r="Z1634" s="217">
        <f>SUM(U1634:Y1634)</f>
        <v>0</v>
      </c>
      <c r="AA1634" s="217">
        <f>Z1634+T1634</f>
        <v>100000000</v>
      </c>
      <c r="AB1634" s="526"/>
      <c r="AC1634" s="526"/>
      <c r="AD1634" s="526"/>
      <c r="AE1634" s="526">
        <v>186262583</v>
      </c>
      <c r="AF1634" s="526"/>
      <c r="AG1634" s="217">
        <f t="shared" ref="AG1634" si="1893">SUM(AB1634:AF1634)</f>
        <v>186262583</v>
      </c>
      <c r="AH1634" s="217">
        <f t="shared" ref="AH1634" si="1894">AG1634+AA1634</f>
        <v>286262583</v>
      </c>
      <c r="AI1634" s="217">
        <v>39527300</v>
      </c>
      <c r="AJ1634" s="764">
        <f>AI1634/AH1634*100</f>
        <v>13.808056779813239</v>
      </c>
    </row>
    <row r="1635" spans="1:36" ht="12.5" customHeight="1">
      <c r="A1635" s="40"/>
      <c r="B1635" s="40"/>
      <c r="C1635" s="124">
        <v>2</v>
      </c>
      <c r="D1635" s="124"/>
      <c r="E1635" s="124"/>
      <c r="F1635" s="41"/>
      <c r="G1635" s="41"/>
      <c r="H1635" s="66" t="s">
        <v>211</v>
      </c>
      <c r="I1635" s="125"/>
      <c r="J1635" s="547"/>
      <c r="K1635" s="525"/>
      <c r="L1635" s="526"/>
      <c r="M1635" s="526"/>
      <c r="N1635" s="526"/>
      <c r="O1635" s="526"/>
      <c r="P1635" s="526"/>
      <c r="Q1635" s="526"/>
      <c r="R1635" s="526"/>
      <c r="S1635" s="217"/>
      <c r="T1635" s="217"/>
      <c r="U1635" s="526"/>
      <c r="V1635" s="526"/>
      <c r="W1635" s="526"/>
      <c r="X1635" s="526"/>
      <c r="Y1635" s="526"/>
      <c r="Z1635" s="217"/>
      <c r="AA1635" s="217"/>
      <c r="AB1635" s="526"/>
      <c r="AC1635" s="526"/>
      <c r="AD1635" s="526"/>
      <c r="AE1635" s="526"/>
      <c r="AF1635" s="526"/>
      <c r="AG1635" s="217"/>
      <c r="AH1635" s="217"/>
      <c r="AI1635" s="217"/>
      <c r="AJ1635" s="764"/>
    </row>
    <row r="1636" spans="1:36" ht="12.5" customHeight="1">
      <c r="A1636" s="40"/>
      <c r="B1636" s="40"/>
      <c r="C1636" s="124"/>
      <c r="D1636" s="124">
        <v>6</v>
      </c>
      <c r="E1636" s="124" t="s">
        <v>199</v>
      </c>
      <c r="F1636" s="41"/>
      <c r="G1636" s="41"/>
      <c r="H1636" s="125"/>
      <c r="I1636" s="66" t="s">
        <v>213</v>
      </c>
      <c r="J1636" s="547"/>
      <c r="K1636" s="525">
        <v>900000000</v>
      </c>
      <c r="L1636" s="526">
        <f>SUM(J1636:K1636)</f>
        <v>900000000</v>
      </c>
      <c r="M1636" s="526"/>
      <c r="N1636" s="526"/>
      <c r="O1636" s="526"/>
      <c r="P1636" s="526"/>
      <c r="Q1636" s="526"/>
      <c r="R1636" s="526"/>
      <c r="S1636" s="217">
        <f t="shared" si="1891"/>
        <v>0</v>
      </c>
      <c r="T1636" s="217">
        <f t="shared" si="1892"/>
        <v>900000000</v>
      </c>
      <c r="U1636" s="526"/>
      <c r="V1636" s="526"/>
      <c r="W1636" s="526"/>
      <c r="X1636" s="526"/>
      <c r="Y1636" s="526"/>
      <c r="Z1636" s="217">
        <f>SUM(U1636:Y1636)</f>
        <v>0</v>
      </c>
      <c r="AA1636" s="217">
        <f>Z1636+T1636</f>
        <v>900000000</v>
      </c>
      <c r="AB1636" s="526"/>
      <c r="AC1636" s="526"/>
      <c r="AD1636" s="526"/>
      <c r="AE1636" s="526">
        <v>-186262583</v>
      </c>
      <c r="AF1636" s="526"/>
      <c r="AG1636" s="217">
        <f t="shared" ref="AG1636" si="1895">SUM(AB1636:AF1636)</f>
        <v>-186262583</v>
      </c>
      <c r="AH1636" s="217">
        <f t="shared" ref="AH1636" si="1896">AG1636+AA1636</f>
        <v>713737417</v>
      </c>
      <c r="AI1636" s="217"/>
      <c r="AJ1636" s="764"/>
    </row>
    <row r="1637" spans="1:36" ht="12.5" customHeight="1">
      <c r="A1637" s="40"/>
      <c r="B1637" s="40"/>
      <c r="C1637" s="124"/>
      <c r="D1637" s="124"/>
      <c r="E1637" s="124"/>
      <c r="F1637" s="41"/>
      <c r="G1637" s="41"/>
      <c r="H1637" s="63"/>
      <c r="I1637" s="41"/>
      <c r="J1637" s="544"/>
      <c r="K1637" s="542"/>
      <c r="L1637" s="205"/>
      <c r="M1637" s="205"/>
      <c r="N1637" s="205"/>
      <c r="O1637" s="205"/>
      <c r="P1637" s="205"/>
      <c r="Q1637" s="205"/>
      <c r="R1637" s="205"/>
      <c r="S1637" s="205"/>
      <c r="T1637" s="205"/>
      <c r="U1637" s="205"/>
      <c r="V1637" s="205"/>
      <c r="W1637" s="205"/>
      <c r="X1637" s="205"/>
      <c r="Y1637" s="205"/>
      <c r="Z1637" s="205"/>
      <c r="AA1637" s="205"/>
      <c r="AB1637" s="205"/>
      <c r="AC1637" s="205"/>
      <c r="AD1637" s="205"/>
      <c r="AE1637" s="205"/>
      <c r="AF1637" s="205"/>
      <c r="AG1637" s="205"/>
      <c r="AH1637" s="205"/>
      <c r="AI1637" s="205"/>
      <c r="AJ1637" s="747"/>
    </row>
    <row r="1638" spans="1:36" ht="12.5" customHeight="1">
      <c r="A1638" s="40"/>
      <c r="B1638" s="40"/>
      <c r="C1638" s="124"/>
      <c r="D1638" s="124"/>
      <c r="E1638" s="124"/>
      <c r="F1638" s="173"/>
      <c r="G1638" s="64"/>
      <c r="H1638" s="65"/>
      <c r="I1638" s="64" t="s">
        <v>38</v>
      </c>
      <c r="J1638" s="548">
        <f>SUM(J1634:J1637)</f>
        <v>100000000</v>
      </c>
      <c r="K1638" s="457">
        <f>SUM(K1634:K1637)</f>
        <v>900000000</v>
      </c>
      <c r="L1638" s="458">
        <f>SUM(L1634:L1637)</f>
        <v>1000000000</v>
      </c>
      <c r="M1638" s="458">
        <f t="shared" ref="M1638:T1638" si="1897">SUM(M1634:M1637)</f>
        <v>0</v>
      </c>
      <c r="N1638" s="458">
        <f t="shared" si="1897"/>
        <v>0</v>
      </c>
      <c r="O1638" s="458">
        <f t="shared" si="1897"/>
        <v>0</v>
      </c>
      <c r="P1638" s="458">
        <f t="shared" si="1897"/>
        <v>0</v>
      </c>
      <c r="Q1638" s="458">
        <f t="shared" si="1897"/>
        <v>0</v>
      </c>
      <c r="R1638" s="458">
        <f t="shared" si="1897"/>
        <v>0</v>
      </c>
      <c r="S1638" s="458">
        <f t="shared" si="1897"/>
        <v>0</v>
      </c>
      <c r="T1638" s="458">
        <f t="shared" si="1897"/>
        <v>1000000000</v>
      </c>
      <c r="U1638" s="458"/>
      <c r="V1638" s="458"/>
      <c r="W1638" s="458"/>
      <c r="X1638" s="458"/>
      <c r="Y1638" s="458"/>
      <c r="Z1638" s="458">
        <f t="shared" ref="Z1638:AA1638" si="1898">SUM(Z1634:Z1637)</f>
        <v>0</v>
      </c>
      <c r="AA1638" s="458">
        <f t="shared" si="1898"/>
        <v>1000000000</v>
      </c>
      <c r="AB1638" s="458"/>
      <c r="AC1638" s="458"/>
      <c r="AD1638" s="458"/>
      <c r="AE1638" s="458"/>
      <c r="AF1638" s="458"/>
      <c r="AG1638" s="458">
        <f t="shared" ref="AG1638:AI1638" si="1899">SUM(AG1634:AG1637)</f>
        <v>0</v>
      </c>
      <c r="AH1638" s="458">
        <f t="shared" si="1899"/>
        <v>1000000000</v>
      </c>
      <c r="AI1638" s="458">
        <f t="shared" si="1899"/>
        <v>39527300</v>
      </c>
      <c r="AJ1638" s="770">
        <f>AI1638/AH1638*100</f>
        <v>3.9527300000000003</v>
      </c>
    </row>
    <row r="1639" spans="1:36" ht="12.5" customHeight="1">
      <c r="A1639" s="40"/>
      <c r="B1639" s="40"/>
      <c r="C1639" s="124"/>
      <c r="D1639" s="124"/>
      <c r="E1639" s="124"/>
      <c r="F1639" s="41"/>
      <c r="G1639" s="41"/>
      <c r="H1639" s="63"/>
      <c r="I1639" s="41"/>
      <c r="J1639" s="544"/>
      <c r="K1639" s="542"/>
      <c r="L1639" s="205"/>
      <c r="M1639" s="205"/>
      <c r="N1639" s="205"/>
      <c r="O1639" s="205"/>
      <c r="P1639" s="205"/>
      <c r="Q1639" s="205"/>
      <c r="R1639" s="205"/>
      <c r="S1639" s="205"/>
      <c r="T1639" s="205"/>
      <c r="U1639" s="205"/>
      <c r="V1639" s="205"/>
      <c r="W1639" s="205"/>
      <c r="X1639" s="205"/>
      <c r="Y1639" s="205"/>
      <c r="Z1639" s="205"/>
      <c r="AA1639" s="205"/>
      <c r="AB1639" s="205"/>
      <c r="AC1639" s="205"/>
      <c r="AD1639" s="205"/>
      <c r="AE1639" s="205"/>
      <c r="AF1639" s="205"/>
      <c r="AG1639" s="205"/>
      <c r="AH1639" s="205"/>
      <c r="AI1639" s="205"/>
      <c r="AJ1639" s="747"/>
    </row>
    <row r="1640" spans="1:36" ht="12.5" customHeight="1">
      <c r="A1640" s="40"/>
      <c r="B1640" s="40">
        <v>6</v>
      </c>
      <c r="C1640" s="124"/>
      <c r="D1640" s="124"/>
      <c r="E1640" s="124"/>
      <c r="F1640" s="41"/>
      <c r="G1640" s="41" t="s">
        <v>400</v>
      </c>
      <c r="H1640" s="63"/>
      <c r="I1640" s="41"/>
      <c r="J1640" s="544"/>
      <c r="K1640" s="542"/>
      <c r="L1640" s="205"/>
      <c r="M1640" s="205"/>
      <c r="N1640" s="205"/>
      <c r="O1640" s="205"/>
      <c r="P1640" s="205"/>
      <c r="Q1640" s="205"/>
      <c r="R1640" s="205"/>
      <c r="S1640" s="205"/>
      <c r="T1640" s="205"/>
      <c r="U1640" s="205"/>
      <c r="V1640" s="205"/>
      <c r="W1640" s="205"/>
      <c r="X1640" s="205"/>
      <c r="Y1640" s="205"/>
      <c r="Z1640" s="205"/>
      <c r="AA1640" s="205"/>
      <c r="AB1640" s="205"/>
      <c r="AC1640" s="205"/>
      <c r="AD1640" s="205"/>
      <c r="AE1640" s="205"/>
      <c r="AF1640" s="205"/>
      <c r="AG1640" s="205"/>
      <c r="AH1640" s="205"/>
      <c r="AI1640" s="205"/>
      <c r="AJ1640" s="747"/>
    </row>
    <row r="1641" spans="1:36" ht="12.5" customHeight="1">
      <c r="A1641" s="40"/>
      <c r="B1641" s="40"/>
      <c r="C1641" s="124">
        <v>1</v>
      </c>
      <c r="D1641" s="124"/>
      <c r="E1641" s="124"/>
      <c r="F1641" s="41"/>
      <c r="G1641" s="41"/>
      <c r="H1641" s="163" t="s">
        <v>35</v>
      </c>
      <c r="I1641" s="66"/>
      <c r="J1641" s="547"/>
      <c r="K1641" s="453"/>
      <c r="L1641" s="526"/>
      <c r="M1641" s="526"/>
      <c r="N1641" s="526"/>
      <c r="O1641" s="526"/>
      <c r="P1641" s="526"/>
      <c r="Q1641" s="526"/>
      <c r="R1641" s="526"/>
      <c r="S1641" s="526"/>
      <c r="T1641" s="526"/>
      <c r="U1641" s="526"/>
      <c r="V1641" s="526"/>
      <c r="W1641" s="526"/>
      <c r="X1641" s="526"/>
      <c r="Y1641" s="526"/>
      <c r="Z1641" s="526"/>
      <c r="AA1641" s="526"/>
      <c r="AB1641" s="526"/>
      <c r="AC1641" s="526"/>
      <c r="AD1641" s="526"/>
      <c r="AE1641" s="526"/>
      <c r="AF1641" s="526"/>
      <c r="AG1641" s="526"/>
      <c r="AH1641" s="526"/>
      <c r="AI1641" s="526"/>
      <c r="AJ1641" s="779"/>
    </row>
    <row r="1642" spans="1:36" ht="12.5" customHeight="1">
      <c r="A1642" s="40"/>
      <c r="B1642" s="40"/>
      <c r="C1642" s="124"/>
      <c r="D1642" s="124">
        <v>3</v>
      </c>
      <c r="E1642" s="124" t="s">
        <v>199</v>
      </c>
      <c r="F1642" s="41"/>
      <c r="G1642" s="41"/>
      <c r="H1642" s="162"/>
      <c r="I1642" s="125" t="s">
        <v>116</v>
      </c>
      <c r="J1642" s="547">
        <v>1673630</v>
      </c>
      <c r="K1642" s="453"/>
      <c r="L1642" s="526">
        <f>SUM(J1642:K1642)</f>
        <v>1673630</v>
      </c>
      <c r="M1642" s="526"/>
      <c r="N1642" s="526"/>
      <c r="O1642" s="526"/>
      <c r="P1642" s="526"/>
      <c r="Q1642" s="526"/>
      <c r="R1642" s="526"/>
      <c r="S1642" s="217">
        <f t="shared" ref="S1642:S1644" si="1900">SUM(M1642:R1642)</f>
        <v>0</v>
      </c>
      <c r="T1642" s="217">
        <f t="shared" ref="T1642:T1644" si="1901">S1642+L1642</f>
        <v>1673630</v>
      </c>
      <c r="U1642" s="526"/>
      <c r="V1642" s="526"/>
      <c r="W1642" s="526"/>
      <c r="X1642" s="526"/>
      <c r="Y1642" s="526"/>
      <c r="Z1642" s="217">
        <f>SUM(U1642:Y1642)</f>
        <v>0</v>
      </c>
      <c r="AA1642" s="217">
        <f>Z1642+T1642</f>
        <v>1673630</v>
      </c>
      <c r="AB1642" s="526"/>
      <c r="AC1642" s="526"/>
      <c r="AD1642" s="526"/>
      <c r="AE1642" s="526"/>
      <c r="AF1642" s="526"/>
      <c r="AG1642" s="217">
        <f t="shared" ref="AG1642" si="1902">SUM(AB1642:AF1642)</f>
        <v>0</v>
      </c>
      <c r="AH1642" s="217">
        <f t="shared" ref="AH1642" si="1903">AG1642+AA1642</f>
        <v>1673630</v>
      </c>
      <c r="AI1642" s="217">
        <v>100000</v>
      </c>
      <c r="AJ1642" s="764">
        <f>AI1642/AH1642*100</f>
        <v>5.9750362983455121</v>
      </c>
    </row>
    <row r="1643" spans="1:36" ht="12.5" customHeight="1">
      <c r="A1643" s="40"/>
      <c r="B1643" s="40"/>
      <c r="C1643" s="124">
        <v>2</v>
      </c>
      <c r="D1643" s="124"/>
      <c r="E1643" s="124"/>
      <c r="F1643" s="41"/>
      <c r="G1643" s="41"/>
      <c r="H1643" s="66" t="s">
        <v>211</v>
      </c>
      <c r="I1643" s="125"/>
      <c r="J1643" s="547"/>
      <c r="K1643" s="525"/>
      <c r="L1643" s="526"/>
      <c r="M1643" s="526"/>
      <c r="N1643" s="526"/>
      <c r="O1643" s="526"/>
      <c r="P1643" s="526"/>
      <c r="Q1643" s="526"/>
      <c r="R1643" s="526"/>
      <c r="S1643" s="217"/>
      <c r="T1643" s="217"/>
      <c r="U1643" s="526"/>
      <c r="V1643" s="526"/>
      <c r="W1643" s="526"/>
      <c r="X1643" s="526"/>
      <c r="Y1643" s="526"/>
      <c r="Z1643" s="217"/>
      <c r="AA1643" s="217"/>
      <c r="AB1643" s="526"/>
      <c r="AC1643" s="526"/>
      <c r="AD1643" s="526"/>
      <c r="AE1643" s="526"/>
      <c r="AF1643" s="526"/>
      <c r="AG1643" s="217"/>
      <c r="AH1643" s="217"/>
      <c r="AI1643" s="217"/>
      <c r="AJ1643" s="764"/>
    </row>
    <row r="1644" spans="1:36" ht="12.5" customHeight="1">
      <c r="A1644" s="40"/>
      <c r="B1644" s="40"/>
      <c r="C1644" s="124"/>
      <c r="D1644" s="124">
        <v>6</v>
      </c>
      <c r="E1644" s="124" t="s">
        <v>199</v>
      </c>
      <c r="F1644" s="41"/>
      <c r="G1644" s="41"/>
      <c r="H1644" s="125"/>
      <c r="I1644" s="66" t="s">
        <v>213</v>
      </c>
      <c r="J1644" s="547"/>
      <c r="K1644" s="525">
        <v>4600000</v>
      </c>
      <c r="L1644" s="526">
        <f>SUM(J1644:K1644)</f>
        <v>4600000</v>
      </c>
      <c r="M1644" s="526"/>
      <c r="N1644" s="526"/>
      <c r="O1644" s="526"/>
      <c r="P1644" s="526"/>
      <c r="Q1644" s="526"/>
      <c r="R1644" s="526"/>
      <c r="S1644" s="217">
        <f t="shared" si="1900"/>
        <v>0</v>
      </c>
      <c r="T1644" s="217">
        <f t="shared" si="1901"/>
        <v>4600000</v>
      </c>
      <c r="U1644" s="526"/>
      <c r="V1644" s="526"/>
      <c r="W1644" s="526"/>
      <c r="X1644" s="526"/>
      <c r="Y1644" s="526"/>
      <c r="Z1644" s="217">
        <f>SUM(U1644:Y1644)</f>
        <v>0</v>
      </c>
      <c r="AA1644" s="217">
        <f>Z1644+T1644</f>
        <v>4600000</v>
      </c>
      <c r="AB1644" s="526"/>
      <c r="AC1644" s="526"/>
      <c r="AD1644" s="526"/>
      <c r="AE1644" s="526"/>
      <c r="AF1644" s="526"/>
      <c r="AG1644" s="217">
        <f t="shared" ref="AG1644" si="1904">SUM(AB1644:AF1644)</f>
        <v>0</v>
      </c>
      <c r="AH1644" s="217">
        <f t="shared" ref="AH1644" si="1905">AG1644+AA1644</f>
        <v>4600000</v>
      </c>
      <c r="AI1644" s="217">
        <v>4600000</v>
      </c>
      <c r="AJ1644" s="764">
        <f>AI1644/AH1644*100</f>
        <v>100</v>
      </c>
    </row>
    <row r="1645" spans="1:36" ht="5" customHeight="1">
      <c r="A1645" s="40"/>
      <c r="B1645" s="40"/>
      <c r="C1645" s="124"/>
      <c r="D1645" s="124"/>
      <c r="E1645" s="124"/>
      <c r="F1645" s="41"/>
      <c r="G1645" s="41"/>
      <c r="H1645" s="63"/>
      <c r="I1645" s="41"/>
      <c r="J1645" s="544"/>
      <c r="K1645" s="542"/>
      <c r="L1645" s="205"/>
      <c r="M1645" s="205"/>
      <c r="N1645" s="205"/>
      <c r="O1645" s="205"/>
      <c r="P1645" s="205"/>
      <c r="Q1645" s="205"/>
      <c r="R1645" s="205"/>
      <c r="S1645" s="205"/>
      <c r="T1645" s="205"/>
      <c r="U1645" s="205"/>
      <c r="V1645" s="205"/>
      <c r="W1645" s="205"/>
      <c r="X1645" s="205"/>
      <c r="Y1645" s="205"/>
      <c r="Z1645" s="205"/>
      <c r="AA1645" s="205"/>
      <c r="AB1645" s="205"/>
      <c r="AC1645" s="205"/>
      <c r="AD1645" s="205"/>
      <c r="AE1645" s="205"/>
      <c r="AF1645" s="205"/>
      <c r="AG1645" s="205"/>
      <c r="AH1645" s="205"/>
      <c r="AI1645" s="205"/>
      <c r="AJ1645" s="747"/>
    </row>
    <row r="1646" spans="1:36" ht="12.5" customHeight="1">
      <c r="A1646" s="40"/>
      <c r="B1646" s="40"/>
      <c r="C1646" s="124"/>
      <c r="D1646" s="124"/>
      <c r="E1646" s="124"/>
      <c r="F1646" s="173"/>
      <c r="G1646" s="64"/>
      <c r="H1646" s="65"/>
      <c r="I1646" s="64" t="s">
        <v>38</v>
      </c>
      <c r="J1646" s="548">
        <f>SUM(J1642:J1645)</f>
        <v>1673630</v>
      </c>
      <c r="K1646" s="457">
        <f>SUM(K1642:K1645)</f>
        <v>4600000</v>
      </c>
      <c r="L1646" s="458">
        <f>SUM(L1642:L1645)</f>
        <v>6273630</v>
      </c>
      <c r="M1646" s="458">
        <f t="shared" ref="M1646:T1646" si="1906">SUM(M1642:M1645)</f>
        <v>0</v>
      </c>
      <c r="N1646" s="458">
        <f t="shared" si="1906"/>
        <v>0</v>
      </c>
      <c r="O1646" s="458">
        <f t="shared" si="1906"/>
        <v>0</v>
      </c>
      <c r="P1646" s="458">
        <f t="shared" si="1906"/>
        <v>0</v>
      </c>
      <c r="Q1646" s="458">
        <f t="shared" si="1906"/>
        <v>0</v>
      </c>
      <c r="R1646" s="458">
        <f t="shared" si="1906"/>
        <v>0</v>
      </c>
      <c r="S1646" s="458">
        <f t="shared" si="1906"/>
        <v>0</v>
      </c>
      <c r="T1646" s="458">
        <f t="shared" si="1906"/>
        <v>6273630</v>
      </c>
      <c r="U1646" s="458"/>
      <c r="V1646" s="458"/>
      <c r="W1646" s="458"/>
      <c r="X1646" s="458"/>
      <c r="Y1646" s="458"/>
      <c r="Z1646" s="458">
        <f t="shared" ref="Z1646:AA1646" si="1907">SUM(Z1642:Z1645)</f>
        <v>0</v>
      </c>
      <c r="AA1646" s="458">
        <f t="shared" si="1907"/>
        <v>6273630</v>
      </c>
      <c r="AB1646" s="458"/>
      <c r="AC1646" s="458"/>
      <c r="AD1646" s="458"/>
      <c r="AE1646" s="458"/>
      <c r="AF1646" s="458"/>
      <c r="AG1646" s="458">
        <f t="shared" ref="AG1646:AI1646" si="1908">SUM(AG1642:AG1645)</f>
        <v>0</v>
      </c>
      <c r="AH1646" s="458">
        <f t="shared" si="1908"/>
        <v>6273630</v>
      </c>
      <c r="AI1646" s="458">
        <f t="shared" si="1908"/>
        <v>4700000</v>
      </c>
      <c r="AJ1646" s="770">
        <f>AI1646/AH1646*100</f>
        <v>74.916754733702817</v>
      </c>
    </row>
    <row r="1647" spans="1:36" ht="12.5" customHeight="1">
      <c r="A1647" s="40"/>
      <c r="B1647" s="40"/>
      <c r="C1647" s="124"/>
      <c r="D1647" s="124"/>
      <c r="E1647" s="124"/>
      <c r="F1647" s="41"/>
      <c r="G1647" s="41"/>
      <c r="H1647" s="63"/>
      <c r="I1647" s="41"/>
      <c r="J1647" s="544"/>
      <c r="K1647" s="542"/>
      <c r="L1647" s="205"/>
      <c r="M1647" s="205"/>
      <c r="N1647" s="205"/>
      <c r="O1647" s="205"/>
      <c r="P1647" s="205"/>
      <c r="Q1647" s="205"/>
      <c r="R1647" s="205"/>
      <c r="S1647" s="205"/>
      <c r="T1647" s="205"/>
      <c r="U1647" s="205"/>
      <c r="V1647" s="205"/>
      <c r="W1647" s="205"/>
      <c r="X1647" s="205"/>
      <c r="Y1647" s="205"/>
      <c r="Z1647" s="205"/>
      <c r="AA1647" s="205"/>
      <c r="AB1647" s="205"/>
      <c r="AC1647" s="205"/>
      <c r="AD1647" s="205"/>
      <c r="AE1647" s="205"/>
      <c r="AF1647" s="205"/>
      <c r="AG1647" s="205"/>
      <c r="AH1647" s="205"/>
      <c r="AI1647" s="205"/>
      <c r="AJ1647" s="747"/>
    </row>
    <row r="1648" spans="1:36" ht="32.5" customHeight="1">
      <c r="A1648" s="40"/>
      <c r="B1648" s="40">
        <v>7</v>
      </c>
      <c r="C1648" s="124"/>
      <c r="D1648" s="124"/>
      <c r="E1648" s="124"/>
      <c r="F1648" s="41"/>
      <c r="G1648" s="935" t="s">
        <v>401</v>
      </c>
      <c r="H1648" s="935"/>
      <c r="I1648" s="935"/>
      <c r="J1648" s="547"/>
      <c r="K1648" s="542"/>
      <c r="L1648" s="205"/>
      <c r="M1648" s="205"/>
      <c r="N1648" s="205"/>
      <c r="O1648" s="205"/>
      <c r="P1648" s="205"/>
      <c r="Q1648" s="205"/>
      <c r="R1648" s="205"/>
      <c r="S1648" s="205"/>
      <c r="T1648" s="205"/>
      <c r="U1648" s="205"/>
      <c r="V1648" s="205"/>
      <c r="W1648" s="205"/>
      <c r="X1648" s="205"/>
      <c r="Y1648" s="205"/>
      <c r="Z1648" s="205"/>
      <c r="AA1648" s="205"/>
      <c r="AB1648" s="205"/>
      <c r="AC1648" s="205"/>
      <c r="AD1648" s="205"/>
      <c r="AE1648" s="205"/>
      <c r="AF1648" s="205"/>
      <c r="AG1648" s="205"/>
      <c r="AH1648" s="205"/>
      <c r="AI1648" s="205"/>
      <c r="AJ1648" s="747"/>
    </row>
    <row r="1649" spans="1:36" ht="12.5" customHeight="1">
      <c r="A1649" s="40"/>
      <c r="B1649" s="40"/>
      <c r="C1649" s="124">
        <v>1</v>
      </c>
      <c r="D1649" s="124"/>
      <c r="E1649" s="124"/>
      <c r="F1649" s="41"/>
      <c r="G1649" s="41"/>
      <c r="H1649" s="163" t="s">
        <v>35</v>
      </c>
      <c r="I1649" s="66"/>
      <c r="J1649" s="547"/>
      <c r="K1649" s="453"/>
      <c r="L1649" s="526"/>
      <c r="M1649" s="526"/>
      <c r="N1649" s="526"/>
      <c r="O1649" s="526"/>
      <c r="P1649" s="526"/>
      <c r="Q1649" s="526"/>
      <c r="R1649" s="526"/>
      <c r="S1649" s="526"/>
      <c r="T1649" s="526"/>
      <c r="U1649" s="526"/>
      <c r="V1649" s="526"/>
      <c r="W1649" s="526"/>
      <c r="X1649" s="526"/>
      <c r="Y1649" s="526"/>
      <c r="Z1649" s="526"/>
      <c r="AA1649" s="526"/>
      <c r="AB1649" s="526"/>
      <c r="AC1649" s="526"/>
      <c r="AD1649" s="526"/>
      <c r="AE1649" s="526"/>
      <c r="AF1649" s="526"/>
      <c r="AG1649" s="526"/>
      <c r="AH1649" s="526"/>
      <c r="AI1649" s="526"/>
      <c r="AJ1649" s="779"/>
    </row>
    <row r="1650" spans="1:36" ht="12.5" customHeight="1">
      <c r="A1650" s="40"/>
      <c r="B1650" s="40"/>
      <c r="C1650" s="124"/>
      <c r="D1650" s="124">
        <v>3</v>
      </c>
      <c r="E1650" s="124" t="s">
        <v>199</v>
      </c>
      <c r="F1650" s="41"/>
      <c r="G1650" s="41"/>
      <c r="H1650" s="162"/>
      <c r="I1650" s="125" t="s">
        <v>116</v>
      </c>
      <c r="J1650" s="547">
        <v>62069737</v>
      </c>
      <c r="K1650" s="453"/>
      <c r="L1650" s="526">
        <f>SUM(J1650:K1650)</f>
        <v>62069737</v>
      </c>
      <c r="M1650" s="526"/>
      <c r="N1650" s="526"/>
      <c r="O1650" s="526"/>
      <c r="P1650" s="526"/>
      <c r="Q1650" s="526"/>
      <c r="R1650" s="526"/>
      <c r="S1650" s="217">
        <f t="shared" ref="S1650:S1652" si="1909">SUM(M1650:R1650)</f>
        <v>0</v>
      </c>
      <c r="T1650" s="217">
        <f t="shared" ref="T1650:T1652" si="1910">S1650+L1650</f>
        <v>62069737</v>
      </c>
      <c r="U1650" s="526"/>
      <c r="V1650" s="526"/>
      <c r="W1650" s="526"/>
      <c r="X1650" s="526"/>
      <c r="Y1650" s="526"/>
      <c r="Z1650" s="217">
        <f>SUM(U1650:Y1650)</f>
        <v>0</v>
      </c>
      <c r="AA1650" s="217">
        <f>Z1650+T1650</f>
        <v>62069737</v>
      </c>
      <c r="AB1650" s="526"/>
      <c r="AC1650" s="526"/>
      <c r="AD1650" s="526"/>
      <c r="AE1650" s="526"/>
      <c r="AF1650" s="526"/>
      <c r="AG1650" s="217">
        <f t="shared" ref="AG1650" si="1911">SUM(AB1650:AF1650)</f>
        <v>0</v>
      </c>
      <c r="AH1650" s="217">
        <f t="shared" ref="AH1650" si="1912">AG1650+AA1650</f>
        <v>62069737</v>
      </c>
      <c r="AI1650" s="217">
        <v>20643669</v>
      </c>
      <c r="AJ1650" s="764">
        <f>AI1650/AH1650*100</f>
        <v>33.258831111206419</v>
      </c>
    </row>
    <row r="1651" spans="1:36" ht="12.5" customHeight="1">
      <c r="A1651" s="40"/>
      <c r="B1651" s="40"/>
      <c r="C1651" s="124">
        <v>2</v>
      </c>
      <c r="D1651" s="124"/>
      <c r="E1651" s="124"/>
      <c r="F1651" s="41"/>
      <c r="G1651" s="41"/>
      <c r="H1651" s="66" t="s">
        <v>211</v>
      </c>
      <c r="I1651" s="125"/>
      <c r="J1651" s="547"/>
      <c r="K1651" s="525"/>
      <c r="L1651" s="526"/>
      <c r="M1651" s="526"/>
      <c r="N1651" s="526"/>
      <c r="O1651" s="526"/>
      <c r="P1651" s="526"/>
      <c r="Q1651" s="526"/>
      <c r="R1651" s="526"/>
      <c r="S1651" s="217"/>
      <c r="T1651" s="217"/>
      <c r="U1651" s="526"/>
      <c r="V1651" s="526"/>
      <c r="W1651" s="526"/>
      <c r="X1651" s="526"/>
      <c r="Y1651" s="526"/>
      <c r="Z1651" s="217"/>
      <c r="AA1651" s="217"/>
      <c r="AB1651" s="526"/>
      <c r="AC1651" s="526"/>
      <c r="AD1651" s="526"/>
      <c r="AE1651" s="526"/>
      <c r="AF1651" s="526"/>
      <c r="AG1651" s="217"/>
      <c r="AH1651" s="217"/>
      <c r="AI1651" s="217"/>
      <c r="AJ1651" s="764"/>
    </row>
    <row r="1652" spans="1:36" ht="12.5" customHeight="1">
      <c r="A1652" s="40"/>
      <c r="B1652" s="40"/>
      <c r="C1652" s="124"/>
      <c r="D1652" s="124">
        <v>6</v>
      </c>
      <c r="E1652" s="124" t="s">
        <v>199</v>
      </c>
      <c r="F1652" s="41"/>
      <c r="G1652" s="41"/>
      <c r="H1652" s="125"/>
      <c r="I1652" s="66" t="s">
        <v>213</v>
      </c>
      <c r="J1652" s="547"/>
      <c r="K1652" s="525">
        <v>550496796</v>
      </c>
      <c r="L1652" s="526">
        <f>SUM(J1652:K1652)</f>
        <v>550496796</v>
      </c>
      <c r="M1652" s="526"/>
      <c r="N1652" s="526"/>
      <c r="O1652" s="526"/>
      <c r="P1652" s="526"/>
      <c r="Q1652" s="526"/>
      <c r="R1652" s="526"/>
      <c r="S1652" s="217">
        <f t="shared" si="1909"/>
        <v>0</v>
      </c>
      <c r="T1652" s="217">
        <f t="shared" si="1910"/>
        <v>550496796</v>
      </c>
      <c r="U1652" s="526"/>
      <c r="V1652" s="526"/>
      <c r="W1652" s="526"/>
      <c r="X1652" s="526"/>
      <c r="Y1652" s="526"/>
      <c r="Z1652" s="217">
        <f>SUM(U1652:Y1652)</f>
        <v>0</v>
      </c>
      <c r="AA1652" s="217">
        <f>Z1652+T1652</f>
        <v>550496796</v>
      </c>
      <c r="AB1652" s="526"/>
      <c r="AC1652" s="526"/>
      <c r="AD1652" s="526">
        <v>-3333832</v>
      </c>
      <c r="AE1652" s="526"/>
      <c r="AF1652" s="526"/>
      <c r="AG1652" s="217">
        <f t="shared" ref="AG1652" si="1913">SUM(AB1652:AF1652)</f>
        <v>-3333832</v>
      </c>
      <c r="AH1652" s="217">
        <f t="shared" ref="AH1652" si="1914">AG1652+AA1652</f>
        <v>547162964</v>
      </c>
      <c r="AI1652" s="217">
        <v>333642</v>
      </c>
      <c r="AJ1652" s="764">
        <f>AI1652/AH1652*100</f>
        <v>6.0976714790952125E-2</v>
      </c>
    </row>
    <row r="1653" spans="1:36" ht="14">
      <c r="A1653" s="40"/>
      <c r="B1653" s="40"/>
      <c r="C1653" s="124"/>
      <c r="D1653" s="124"/>
      <c r="E1653" s="124"/>
      <c r="F1653" s="41"/>
      <c r="G1653" s="41"/>
      <c r="H1653" s="63"/>
      <c r="I1653" s="41"/>
      <c r="J1653" s="544"/>
      <c r="K1653" s="542"/>
      <c r="L1653" s="205"/>
      <c r="M1653" s="205"/>
      <c r="N1653" s="205"/>
      <c r="O1653" s="205"/>
      <c r="P1653" s="205"/>
      <c r="Q1653" s="205"/>
      <c r="R1653" s="205"/>
      <c r="S1653" s="205"/>
      <c r="T1653" s="205"/>
      <c r="U1653" s="205"/>
      <c r="V1653" s="205"/>
      <c r="W1653" s="205"/>
      <c r="X1653" s="205"/>
      <c r="Y1653" s="205"/>
      <c r="Z1653" s="205"/>
      <c r="AA1653" s="205"/>
      <c r="AB1653" s="205"/>
      <c r="AC1653" s="205"/>
      <c r="AD1653" s="205"/>
      <c r="AE1653" s="205"/>
      <c r="AF1653" s="205"/>
      <c r="AG1653" s="205"/>
      <c r="AH1653" s="205"/>
      <c r="AI1653" s="205"/>
      <c r="AJ1653" s="747"/>
    </row>
    <row r="1654" spans="1:36" ht="12.5" customHeight="1">
      <c r="A1654" s="40"/>
      <c r="B1654" s="40"/>
      <c r="C1654" s="124"/>
      <c r="D1654" s="124"/>
      <c r="E1654" s="124"/>
      <c r="F1654" s="173"/>
      <c r="G1654" s="64"/>
      <c r="H1654" s="65"/>
      <c r="I1654" s="64" t="s">
        <v>38</v>
      </c>
      <c r="J1654" s="548">
        <f>SUM(J1650:J1653)</f>
        <v>62069737</v>
      </c>
      <c r="K1654" s="457">
        <f>SUM(K1650:K1653)</f>
        <v>550496796</v>
      </c>
      <c r="L1654" s="458">
        <f>SUM(L1650:L1653)</f>
        <v>612566533</v>
      </c>
      <c r="M1654" s="458">
        <f t="shared" ref="M1654:T1654" si="1915">SUM(M1650:M1653)</f>
        <v>0</v>
      </c>
      <c r="N1654" s="458">
        <f t="shared" si="1915"/>
        <v>0</v>
      </c>
      <c r="O1654" s="458">
        <f t="shared" si="1915"/>
        <v>0</v>
      </c>
      <c r="P1654" s="458">
        <f t="shared" si="1915"/>
        <v>0</v>
      </c>
      <c r="Q1654" s="458">
        <f t="shared" si="1915"/>
        <v>0</v>
      </c>
      <c r="R1654" s="458">
        <f t="shared" si="1915"/>
        <v>0</v>
      </c>
      <c r="S1654" s="458">
        <f t="shared" si="1915"/>
        <v>0</v>
      </c>
      <c r="T1654" s="458">
        <f t="shared" si="1915"/>
        <v>612566533</v>
      </c>
      <c r="U1654" s="458"/>
      <c r="V1654" s="458"/>
      <c r="W1654" s="458"/>
      <c r="X1654" s="458"/>
      <c r="Y1654" s="458"/>
      <c r="Z1654" s="458">
        <f t="shared" ref="Z1654:AA1654" si="1916">SUM(Z1650:Z1653)</f>
        <v>0</v>
      </c>
      <c r="AA1654" s="458">
        <f t="shared" si="1916"/>
        <v>612566533</v>
      </c>
      <c r="AB1654" s="458"/>
      <c r="AC1654" s="458"/>
      <c r="AD1654" s="458">
        <f t="shared" ref="AD1654" si="1917">SUM(AD1650:AD1653)</f>
        <v>-3333832</v>
      </c>
      <c r="AE1654" s="458"/>
      <c r="AF1654" s="458"/>
      <c r="AG1654" s="458">
        <f t="shared" ref="AG1654:AI1654" si="1918">SUM(AG1650:AG1653)</f>
        <v>-3333832</v>
      </c>
      <c r="AH1654" s="458">
        <f t="shared" si="1918"/>
        <v>609232701</v>
      </c>
      <c r="AI1654" s="458">
        <f t="shared" si="1918"/>
        <v>20977311</v>
      </c>
      <c r="AJ1654" s="770">
        <f>AI1654/AH1654*100</f>
        <v>3.4432345745012789</v>
      </c>
    </row>
    <row r="1655" spans="1:36" ht="12.5" customHeight="1">
      <c r="A1655" s="40"/>
      <c r="B1655" s="40"/>
      <c r="C1655" s="124"/>
      <c r="D1655" s="124"/>
      <c r="E1655" s="124"/>
      <c r="F1655" s="41"/>
      <c r="G1655" s="41"/>
      <c r="H1655" s="63"/>
      <c r="I1655" s="41"/>
      <c r="J1655" s="544"/>
      <c r="K1655" s="542"/>
      <c r="L1655" s="205"/>
      <c r="M1655" s="205"/>
      <c r="N1655" s="205"/>
      <c r="O1655" s="205"/>
      <c r="P1655" s="205"/>
      <c r="Q1655" s="205"/>
      <c r="R1655" s="205"/>
      <c r="S1655" s="205"/>
      <c r="T1655" s="205"/>
      <c r="U1655" s="205"/>
      <c r="V1655" s="205"/>
      <c r="W1655" s="205"/>
      <c r="X1655" s="205"/>
      <c r="Y1655" s="205"/>
      <c r="Z1655" s="205"/>
      <c r="AA1655" s="205"/>
      <c r="AB1655" s="205"/>
      <c r="AC1655" s="205"/>
      <c r="AD1655" s="205"/>
      <c r="AE1655" s="205"/>
      <c r="AF1655" s="205"/>
      <c r="AG1655" s="205"/>
      <c r="AH1655" s="205"/>
      <c r="AI1655" s="205"/>
      <c r="AJ1655" s="747"/>
    </row>
    <row r="1656" spans="1:36" ht="12.5" customHeight="1">
      <c r="A1656" s="40"/>
      <c r="B1656" s="40">
        <v>8</v>
      </c>
      <c r="C1656" s="124"/>
      <c r="D1656" s="124"/>
      <c r="E1656" s="124"/>
      <c r="F1656" s="41"/>
      <c r="G1656" s="935" t="s">
        <v>402</v>
      </c>
      <c r="H1656" s="935"/>
      <c r="I1656" s="935"/>
      <c r="J1656" s="544"/>
      <c r="K1656" s="542"/>
      <c r="L1656" s="205"/>
      <c r="M1656" s="205"/>
      <c r="N1656" s="205"/>
      <c r="O1656" s="205"/>
      <c r="P1656" s="205"/>
      <c r="Q1656" s="205"/>
      <c r="R1656" s="205"/>
      <c r="S1656" s="205"/>
      <c r="T1656" s="205"/>
      <c r="U1656" s="205"/>
      <c r="V1656" s="205"/>
      <c r="W1656" s="205"/>
      <c r="X1656" s="205"/>
      <c r="Y1656" s="205"/>
      <c r="Z1656" s="205"/>
      <c r="AA1656" s="205"/>
      <c r="AB1656" s="205"/>
      <c r="AC1656" s="205"/>
      <c r="AD1656" s="205"/>
      <c r="AE1656" s="205"/>
      <c r="AF1656" s="205"/>
      <c r="AG1656" s="205"/>
      <c r="AH1656" s="205"/>
      <c r="AI1656" s="205"/>
      <c r="AJ1656" s="747"/>
    </row>
    <row r="1657" spans="1:36" ht="12.5" customHeight="1">
      <c r="A1657" s="40"/>
      <c r="B1657" s="40"/>
      <c r="C1657" s="124">
        <v>1</v>
      </c>
      <c r="D1657" s="124"/>
      <c r="E1657" s="124"/>
      <c r="F1657" s="41"/>
      <c r="G1657" s="41"/>
      <c r="H1657" s="163" t="s">
        <v>35</v>
      </c>
      <c r="I1657" s="66"/>
      <c r="J1657" s="547"/>
      <c r="K1657" s="453"/>
      <c r="L1657" s="526"/>
      <c r="M1657" s="526"/>
      <c r="N1657" s="526"/>
      <c r="O1657" s="526"/>
      <c r="P1657" s="526"/>
      <c r="Q1657" s="526"/>
      <c r="R1657" s="526"/>
      <c r="S1657" s="526"/>
      <c r="T1657" s="526"/>
      <c r="U1657" s="526"/>
      <c r="V1657" s="526"/>
      <c r="W1657" s="526"/>
      <c r="X1657" s="526"/>
      <c r="Y1657" s="526"/>
      <c r="Z1657" s="526"/>
      <c r="AA1657" s="526"/>
      <c r="AB1657" s="526"/>
      <c r="AC1657" s="526"/>
      <c r="AD1657" s="526"/>
      <c r="AE1657" s="526"/>
      <c r="AF1657" s="526"/>
      <c r="AG1657" s="526"/>
      <c r="AH1657" s="526"/>
      <c r="AI1657" s="526"/>
      <c r="AJ1657" s="779"/>
    </row>
    <row r="1658" spans="1:36" ht="12.5" customHeight="1">
      <c r="A1658" s="40"/>
      <c r="B1658" s="40"/>
      <c r="C1658" s="124"/>
      <c r="D1658" s="124">
        <v>3</v>
      </c>
      <c r="E1658" s="124" t="s">
        <v>199</v>
      </c>
      <c r="F1658" s="41"/>
      <c r="G1658" s="41"/>
      <c r="H1658" s="162"/>
      <c r="I1658" s="125" t="s">
        <v>116</v>
      </c>
      <c r="J1658" s="547">
        <v>3077861</v>
      </c>
      <c r="K1658" s="453"/>
      <c r="L1658" s="526">
        <f>SUM(J1658:K1658)</f>
        <v>3077861</v>
      </c>
      <c r="M1658" s="526"/>
      <c r="N1658" s="526"/>
      <c r="O1658" s="526"/>
      <c r="P1658" s="526"/>
      <c r="Q1658" s="526"/>
      <c r="R1658" s="526"/>
      <c r="S1658" s="217">
        <f t="shared" ref="S1658:S1660" si="1919">SUM(M1658:R1658)</f>
        <v>0</v>
      </c>
      <c r="T1658" s="217">
        <f t="shared" ref="T1658:T1660" si="1920">S1658+L1658</f>
        <v>3077861</v>
      </c>
      <c r="U1658" s="526"/>
      <c r="V1658" s="526"/>
      <c r="W1658" s="526"/>
      <c r="X1658" s="526"/>
      <c r="Y1658" s="526"/>
      <c r="Z1658" s="217">
        <f>SUM(U1658:Y1658)</f>
        <v>0</v>
      </c>
      <c r="AA1658" s="217">
        <f>Z1658+T1658</f>
        <v>3077861</v>
      </c>
      <c r="AB1658" s="526"/>
      <c r="AC1658" s="526"/>
      <c r="AD1658" s="526"/>
      <c r="AE1658" s="526"/>
      <c r="AF1658" s="526"/>
      <c r="AG1658" s="217">
        <f t="shared" ref="AG1658" si="1921">SUM(AB1658:AF1658)</f>
        <v>0</v>
      </c>
      <c r="AH1658" s="217">
        <f t="shared" ref="AH1658" si="1922">AG1658+AA1658</f>
        <v>3077861</v>
      </c>
      <c r="AI1658" s="217">
        <v>3077861</v>
      </c>
      <c r="AJ1658" s="764">
        <f>AI1658/AH1658*100</f>
        <v>100</v>
      </c>
    </row>
    <row r="1659" spans="1:36" ht="12.5" customHeight="1">
      <c r="A1659" s="40"/>
      <c r="B1659" s="40"/>
      <c r="C1659" s="124">
        <v>2</v>
      </c>
      <c r="D1659" s="124"/>
      <c r="E1659" s="124"/>
      <c r="F1659" s="41"/>
      <c r="G1659" s="41"/>
      <c r="H1659" s="66" t="s">
        <v>211</v>
      </c>
      <c r="I1659" s="125"/>
      <c r="J1659" s="547"/>
      <c r="K1659" s="525"/>
      <c r="L1659" s="526"/>
      <c r="M1659" s="526"/>
      <c r="N1659" s="526"/>
      <c r="O1659" s="526"/>
      <c r="P1659" s="526"/>
      <c r="Q1659" s="526"/>
      <c r="R1659" s="526"/>
      <c r="S1659" s="217"/>
      <c r="T1659" s="217"/>
      <c r="U1659" s="526"/>
      <c r="V1659" s="526"/>
      <c r="W1659" s="526"/>
      <c r="X1659" s="526"/>
      <c r="Y1659" s="526"/>
      <c r="Z1659" s="217"/>
      <c r="AA1659" s="217"/>
      <c r="AB1659" s="526"/>
      <c r="AC1659" s="526"/>
      <c r="AD1659" s="526"/>
      <c r="AE1659" s="526"/>
      <c r="AF1659" s="526"/>
      <c r="AG1659" s="217"/>
      <c r="AH1659" s="217"/>
      <c r="AI1659" s="217"/>
      <c r="AJ1659" s="764"/>
    </row>
    <row r="1660" spans="1:36" ht="12.5" customHeight="1">
      <c r="A1660" s="40"/>
      <c r="B1660" s="40"/>
      <c r="C1660" s="124"/>
      <c r="D1660" s="124">
        <v>6</v>
      </c>
      <c r="E1660" s="124" t="s">
        <v>199</v>
      </c>
      <c r="F1660" s="41"/>
      <c r="G1660" s="41"/>
      <c r="H1660" s="125"/>
      <c r="I1660" s="66" t="s">
        <v>213</v>
      </c>
      <c r="J1660" s="547"/>
      <c r="K1660" s="525">
        <v>74863895</v>
      </c>
      <c r="L1660" s="526">
        <f>SUM(J1660:K1660)</f>
        <v>74863895</v>
      </c>
      <c r="M1660" s="526"/>
      <c r="N1660" s="526"/>
      <c r="O1660" s="526"/>
      <c r="P1660" s="526"/>
      <c r="Q1660" s="526">
        <v>1</v>
      </c>
      <c r="R1660" s="526"/>
      <c r="S1660" s="217">
        <f t="shared" si="1919"/>
        <v>1</v>
      </c>
      <c r="T1660" s="217">
        <f t="shared" si="1920"/>
        <v>74863896</v>
      </c>
      <c r="U1660" s="526"/>
      <c r="V1660" s="526"/>
      <c r="W1660" s="526"/>
      <c r="X1660" s="526"/>
      <c r="Y1660" s="526"/>
      <c r="Z1660" s="217">
        <f>SUM(U1660:Y1660)</f>
        <v>0</v>
      </c>
      <c r="AA1660" s="217">
        <f>Z1660+T1660</f>
        <v>74863896</v>
      </c>
      <c r="AB1660" s="526"/>
      <c r="AC1660" s="526"/>
      <c r="AD1660" s="526"/>
      <c r="AE1660" s="526"/>
      <c r="AF1660" s="526"/>
      <c r="AG1660" s="217">
        <f t="shared" ref="AG1660" si="1923">SUM(AB1660:AF1660)</f>
        <v>0</v>
      </c>
      <c r="AH1660" s="217">
        <f t="shared" ref="AH1660" si="1924">AG1660+AA1660</f>
        <v>74863896</v>
      </c>
      <c r="AI1660" s="217">
        <v>74863896</v>
      </c>
      <c r="AJ1660" s="764">
        <f>AI1660/AH1660*100</f>
        <v>100</v>
      </c>
    </row>
    <row r="1661" spans="1:36" ht="14">
      <c r="A1661" s="40"/>
      <c r="B1661" s="40"/>
      <c r="C1661" s="124"/>
      <c r="D1661" s="124"/>
      <c r="E1661" s="124"/>
      <c r="F1661" s="41"/>
      <c r="G1661" s="41"/>
      <c r="H1661" s="63"/>
      <c r="I1661" s="41"/>
      <c r="J1661" s="544"/>
      <c r="K1661" s="542"/>
      <c r="L1661" s="205"/>
      <c r="M1661" s="205"/>
      <c r="N1661" s="205"/>
      <c r="O1661" s="205"/>
      <c r="P1661" s="205"/>
      <c r="Q1661" s="205"/>
      <c r="R1661" s="205"/>
      <c r="S1661" s="205"/>
      <c r="T1661" s="205"/>
      <c r="U1661" s="205"/>
      <c r="V1661" s="205"/>
      <c r="W1661" s="205"/>
      <c r="X1661" s="205"/>
      <c r="Y1661" s="205"/>
      <c r="Z1661" s="205"/>
      <c r="AA1661" s="205"/>
      <c r="AB1661" s="205"/>
      <c r="AC1661" s="205"/>
      <c r="AD1661" s="205"/>
      <c r="AE1661" s="205"/>
      <c r="AF1661" s="205"/>
      <c r="AG1661" s="205"/>
      <c r="AH1661" s="205"/>
      <c r="AI1661" s="205"/>
      <c r="AJ1661" s="747"/>
    </row>
    <row r="1662" spans="1:36" ht="12.5" customHeight="1">
      <c r="A1662" s="40"/>
      <c r="B1662" s="40"/>
      <c r="C1662" s="124"/>
      <c r="D1662" s="124"/>
      <c r="E1662" s="124"/>
      <c r="F1662" s="173"/>
      <c r="G1662" s="64"/>
      <c r="H1662" s="65"/>
      <c r="I1662" s="64" t="s">
        <v>38</v>
      </c>
      <c r="J1662" s="548">
        <f>SUM(J1658:J1661)</f>
        <v>3077861</v>
      </c>
      <c r="K1662" s="457">
        <f>SUM(K1658:K1661)</f>
        <v>74863895</v>
      </c>
      <c r="L1662" s="458">
        <f>SUM(L1658:L1661)</f>
        <v>77941756</v>
      </c>
      <c r="M1662" s="458">
        <f t="shared" ref="M1662:T1662" si="1925">SUM(M1658:M1661)</f>
        <v>0</v>
      </c>
      <c r="N1662" s="458">
        <f t="shared" si="1925"/>
        <v>0</v>
      </c>
      <c r="O1662" s="458">
        <f t="shared" si="1925"/>
        <v>0</v>
      </c>
      <c r="P1662" s="458">
        <f t="shared" si="1925"/>
        <v>0</v>
      </c>
      <c r="Q1662" s="458">
        <f t="shared" si="1925"/>
        <v>1</v>
      </c>
      <c r="R1662" s="458">
        <f t="shared" si="1925"/>
        <v>0</v>
      </c>
      <c r="S1662" s="458">
        <f t="shared" si="1925"/>
        <v>1</v>
      </c>
      <c r="T1662" s="458">
        <f t="shared" si="1925"/>
        <v>77941757</v>
      </c>
      <c r="U1662" s="458"/>
      <c r="V1662" s="458"/>
      <c r="W1662" s="458"/>
      <c r="X1662" s="458"/>
      <c r="Y1662" s="458"/>
      <c r="Z1662" s="458">
        <f t="shared" ref="Z1662:AA1662" si="1926">SUM(Z1658:Z1661)</f>
        <v>0</v>
      </c>
      <c r="AA1662" s="458">
        <f t="shared" si="1926"/>
        <v>77941757</v>
      </c>
      <c r="AB1662" s="458"/>
      <c r="AC1662" s="458"/>
      <c r="AD1662" s="458"/>
      <c r="AE1662" s="458"/>
      <c r="AF1662" s="458"/>
      <c r="AG1662" s="458">
        <f t="shared" ref="AG1662:AI1662" si="1927">SUM(AG1658:AG1661)</f>
        <v>0</v>
      </c>
      <c r="AH1662" s="458">
        <f t="shared" si="1927"/>
        <v>77941757</v>
      </c>
      <c r="AI1662" s="458">
        <f t="shared" si="1927"/>
        <v>77941757</v>
      </c>
      <c r="AJ1662" s="770">
        <f>AI1662/AH1662*100</f>
        <v>100</v>
      </c>
    </row>
    <row r="1663" spans="1:36" ht="14">
      <c r="A1663" s="40"/>
      <c r="B1663" s="40"/>
      <c r="C1663" s="124"/>
      <c r="D1663" s="124"/>
      <c r="E1663" s="124"/>
      <c r="F1663" s="41"/>
      <c r="G1663" s="41"/>
      <c r="H1663" s="63"/>
      <c r="I1663" s="41"/>
      <c r="J1663" s="544"/>
      <c r="K1663" s="542"/>
      <c r="L1663" s="205"/>
      <c r="M1663" s="205"/>
      <c r="N1663" s="205"/>
      <c r="O1663" s="205"/>
      <c r="P1663" s="205"/>
      <c r="Q1663" s="205"/>
      <c r="R1663" s="205"/>
      <c r="S1663" s="205"/>
      <c r="T1663" s="205"/>
      <c r="U1663" s="205"/>
      <c r="V1663" s="205"/>
      <c r="W1663" s="205"/>
      <c r="X1663" s="205"/>
      <c r="Y1663" s="205"/>
      <c r="Z1663" s="205"/>
      <c r="AA1663" s="205"/>
      <c r="AB1663" s="205"/>
      <c r="AC1663" s="205"/>
      <c r="AD1663" s="205"/>
      <c r="AE1663" s="205"/>
      <c r="AF1663" s="205"/>
      <c r="AG1663" s="205"/>
      <c r="AH1663" s="205"/>
      <c r="AI1663" s="205"/>
      <c r="AJ1663" s="747"/>
    </row>
    <row r="1664" spans="1:36" ht="14">
      <c r="A1664" s="40"/>
      <c r="B1664" s="40">
        <v>9</v>
      </c>
      <c r="C1664" s="124"/>
      <c r="D1664" s="124"/>
      <c r="E1664" s="124"/>
      <c r="F1664" s="41"/>
      <c r="G1664" s="935" t="s">
        <v>403</v>
      </c>
      <c r="H1664" s="935"/>
      <c r="I1664" s="935"/>
      <c r="J1664" s="544"/>
      <c r="K1664" s="542"/>
      <c r="L1664" s="205"/>
      <c r="M1664" s="205"/>
      <c r="N1664" s="205"/>
      <c r="O1664" s="205"/>
      <c r="P1664" s="205"/>
      <c r="Q1664" s="205"/>
      <c r="R1664" s="205"/>
      <c r="S1664" s="205"/>
      <c r="T1664" s="205"/>
      <c r="U1664" s="205"/>
      <c r="V1664" s="205"/>
      <c r="W1664" s="205"/>
      <c r="X1664" s="205"/>
      <c r="Y1664" s="205"/>
      <c r="Z1664" s="205"/>
      <c r="AA1664" s="205"/>
      <c r="AB1664" s="205"/>
      <c r="AC1664" s="205"/>
      <c r="AD1664" s="205"/>
      <c r="AE1664" s="205"/>
      <c r="AF1664" s="205"/>
      <c r="AG1664" s="205"/>
      <c r="AH1664" s="205"/>
      <c r="AI1664" s="205"/>
      <c r="AJ1664" s="747"/>
    </row>
    <row r="1665" spans="1:36" ht="14">
      <c r="A1665" s="40"/>
      <c r="B1665" s="40"/>
      <c r="C1665" s="124">
        <v>1</v>
      </c>
      <c r="D1665" s="124"/>
      <c r="E1665" s="124"/>
      <c r="F1665" s="41"/>
      <c r="G1665" s="41"/>
      <c r="H1665" s="163" t="s">
        <v>35</v>
      </c>
      <c r="I1665" s="66"/>
      <c r="J1665" s="547"/>
      <c r="K1665" s="453"/>
      <c r="L1665" s="526"/>
      <c r="M1665" s="526"/>
      <c r="N1665" s="526"/>
      <c r="O1665" s="526"/>
      <c r="P1665" s="526"/>
      <c r="Q1665" s="526"/>
      <c r="R1665" s="526"/>
      <c r="S1665" s="526"/>
      <c r="T1665" s="526"/>
      <c r="U1665" s="526"/>
      <c r="V1665" s="526"/>
      <c r="W1665" s="526"/>
      <c r="X1665" s="526"/>
      <c r="Y1665" s="526"/>
      <c r="Z1665" s="526"/>
      <c r="AA1665" s="526"/>
      <c r="AB1665" s="526"/>
      <c r="AC1665" s="526"/>
      <c r="AD1665" s="526"/>
      <c r="AE1665" s="526"/>
      <c r="AF1665" s="526"/>
      <c r="AG1665" s="526"/>
      <c r="AH1665" s="526"/>
      <c r="AI1665" s="526"/>
      <c r="AJ1665" s="779"/>
    </row>
    <row r="1666" spans="1:36" ht="14">
      <c r="A1666" s="40"/>
      <c r="B1666" s="40"/>
      <c r="C1666" s="124"/>
      <c r="D1666" s="124">
        <v>3</v>
      </c>
      <c r="E1666" s="124" t="s">
        <v>199</v>
      </c>
      <c r="F1666" s="41"/>
      <c r="G1666" s="41"/>
      <c r="H1666" s="162"/>
      <c r="I1666" s="125" t="s">
        <v>116</v>
      </c>
      <c r="J1666" s="547">
        <v>78662000</v>
      </c>
      <c r="K1666" s="453"/>
      <c r="L1666" s="526">
        <f>SUM(J1666:K1666)</f>
        <v>78662000</v>
      </c>
      <c r="M1666" s="526"/>
      <c r="N1666" s="526"/>
      <c r="O1666" s="526"/>
      <c r="P1666" s="526"/>
      <c r="Q1666" s="526"/>
      <c r="R1666" s="526"/>
      <c r="S1666" s="217">
        <f t="shared" ref="S1666:S1668" si="1928">SUM(M1666:R1666)</f>
        <v>0</v>
      </c>
      <c r="T1666" s="217">
        <f t="shared" ref="T1666:T1668" si="1929">S1666+L1666</f>
        <v>78662000</v>
      </c>
      <c r="U1666" s="526"/>
      <c r="V1666" s="526"/>
      <c r="W1666" s="526"/>
      <c r="X1666" s="526"/>
      <c r="Y1666" s="526"/>
      <c r="Z1666" s="217">
        <f>SUM(U1666:Y1666)</f>
        <v>0</v>
      </c>
      <c r="AA1666" s="217">
        <f>Z1666+T1666</f>
        <v>78662000</v>
      </c>
      <c r="AB1666" s="526"/>
      <c r="AC1666" s="526"/>
      <c r="AD1666" s="526"/>
      <c r="AE1666" s="526">
        <v>149161325</v>
      </c>
      <c r="AF1666" s="526"/>
      <c r="AG1666" s="217">
        <f t="shared" ref="AG1666" si="1930">SUM(AB1666:AF1666)</f>
        <v>149161325</v>
      </c>
      <c r="AH1666" s="217">
        <f t="shared" ref="AH1666" si="1931">AG1666+AA1666</f>
        <v>227823325</v>
      </c>
      <c r="AI1666" s="217">
        <v>36927999</v>
      </c>
      <c r="AJ1666" s="764">
        <f>AI1666/AH1666*100</f>
        <v>16.209051026711158</v>
      </c>
    </row>
    <row r="1667" spans="1:36" ht="14">
      <c r="A1667" s="40"/>
      <c r="B1667" s="40"/>
      <c r="C1667" s="124">
        <v>2</v>
      </c>
      <c r="D1667" s="124"/>
      <c r="E1667" s="124"/>
      <c r="F1667" s="41"/>
      <c r="G1667" s="41"/>
      <c r="H1667" s="66" t="s">
        <v>211</v>
      </c>
      <c r="I1667" s="125"/>
      <c r="J1667" s="547"/>
      <c r="K1667" s="525"/>
      <c r="L1667" s="526"/>
      <c r="M1667" s="526"/>
      <c r="N1667" s="526"/>
      <c r="O1667" s="526"/>
      <c r="P1667" s="526"/>
      <c r="Q1667" s="526"/>
      <c r="R1667" s="526"/>
      <c r="S1667" s="217"/>
      <c r="T1667" s="217"/>
      <c r="U1667" s="526"/>
      <c r="V1667" s="526"/>
      <c r="W1667" s="526"/>
      <c r="X1667" s="526"/>
      <c r="Y1667" s="526"/>
      <c r="Z1667" s="217"/>
      <c r="AA1667" s="217"/>
      <c r="AB1667" s="526"/>
      <c r="AC1667" s="526"/>
      <c r="AD1667" s="526"/>
      <c r="AE1667" s="526"/>
      <c r="AF1667" s="526"/>
      <c r="AG1667" s="217"/>
      <c r="AH1667" s="217"/>
      <c r="AI1667" s="217"/>
      <c r="AJ1667" s="764"/>
    </row>
    <row r="1668" spans="1:36" ht="14">
      <c r="A1668" s="40"/>
      <c r="B1668" s="40"/>
      <c r="C1668" s="124"/>
      <c r="D1668" s="124">
        <v>6</v>
      </c>
      <c r="E1668" s="124" t="s">
        <v>199</v>
      </c>
      <c r="F1668" s="41"/>
      <c r="G1668" s="41"/>
      <c r="H1668" s="125"/>
      <c r="I1668" s="66" t="s">
        <v>213</v>
      </c>
      <c r="J1668" s="547"/>
      <c r="K1668" s="525">
        <v>1665026000</v>
      </c>
      <c r="L1668" s="526">
        <f>SUM(J1668:K1668)</f>
        <v>1665026000</v>
      </c>
      <c r="M1668" s="526"/>
      <c r="N1668" s="526"/>
      <c r="O1668" s="526"/>
      <c r="P1668" s="526"/>
      <c r="Q1668" s="526">
        <v>36989024</v>
      </c>
      <c r="R1668" s="526"/>
      <c r="S1668" s="217">
        <f t="shared" si="1928"/>
        <v>36989024</v>
      </c>
      <c r="T1668" s="217">
        <f t="shared" si="1929"/>
        <v>1702015024</v>
      </c>
      <c r="U1668" s="526"/>
      <c r="V1668" s="526"/>
      <c r="W1668" s="526"/>
      <c r="X1668" s="526"/>
      <c r="Y1668" s="526"/>
      <c r="Z1668" s="217">
        <f>SUM(U1668:Y1668)</f>
        <v>0</v>
      </c>
      <c r="AA1668" s="217">
        <f>Z1668+T1668</f>
        <v>1702015024</v>
      </c>
      <c r="AB1668" s="526"/>
      <c r="AC1668" s="526"/>
      <c r="AD1668" s="526">
        <v>-688755126</v>
      </c>
      <c r="AE1668" s="526">
        <v>-194318325</v>
      </c>
      <c r="AF1668" s="526"/>
      <c r="AG1668" s="217">
        <f t="shared" ref="AG1668" si="1932">SUM(AB1668:AF1668)</f>
        <v>-883073451</v>
      </c>
      <c r="AH1668" s="217">
        <f t="shared" ref="AH1668" si="1933">AG1668+AA1668</f>
        <v>818941573</v>
      </c>
      <c r="AI1668" s="217">
        <v>118789952</v>
      </c>
      <c r="AJ1668" s="764">
        <f>AI1668/AH1668*100</f>
        <v>14.505302443596912</v>
      </c>
    </row>
    <row r="1669" spans="1:36" ht="14">
      <c r="A1669" s="40"/>
      <c r="B1669" s="40"/>
      <c r="C1669" s="124"/>
      <c r="D1669" s="124"/>
      <c r="E1669" s="124"/>
      <c r="F1669" s="41"/>
      <c r="G1669" s="41"/>
      <c r="H1669" s="63"/>
      <c r="I1669" s="41"/>
      <c r="J1669" s="544"/>
      <c r="K1669" s="542"/>
      <c r="L1669" s="205"/>
      <c r="M1669" s="205"/>
      <c r="N1669" s="205"/>
      <c r="O1669" s="205"/>
      <c r="P1669" s="205"/>
      <c r="Q1669" s="205"/>
      <c r="R1669" s="205"/>
      <c r="S1669" s="205"/>
      <c r="T1669" s="205"/>
      <c r="U1669" s="205"/>
      <c r="V1669" s="205"/>
      <c r="W1669" s="205"/>
      <c r="X1669" s="205"/>
      <c r="Y1669" s="205"/>
      <c r="Z1669" s="205"/>
      <c r="AA1669" s="205"/>
      <c r="AB1669" s="205"/>
      <c r="AC1669" s="205"/>
      <c r="AD1669" s="205"/>
      <c r="AE1669" s="205"/>
      <c r="AF1669" s="205"/>
      <c r="AG1669" s="205"/>
      <c r="AH1669" s="205"/>
      <c r="AI1669" s="205"/>
      <c r="AJ1669" s="747"/>
    </row>
    <row r="1670" spans="1:36" ht="14">
      <c r="A1670" s="40"/>
      <c r="B1670" s="40"/>
      <c r="C1670" s="124"/>
      <c r="D1670" s="124"/>
      <c r="E1670" s="124"/>
      <c r="F1670" s="173"/>
      <c r="G1670" s="64"/>
      <c r="H1670" s="65"/>
      <c r="I1670" s="64" t="s">
        <v>38</v>
      </c>
      <c r="J1670" s="548">
        <f>SUM(J1666:J1669)</f>
        <v>78662000</v>
      </c>
      <c r="K1670" s="457">
        <f>SUM(K1666:K1669)</f>
        <v>1665026000</v>
      </c>
      <c r="L1670" s="458">
        <f>SUM(L1666:L1669)</f>
        <v>1743688000</v>
      </c>
      <c r="M1670" s="458">
        <f t="shared" ref="M1670:T1670" si="1934">SUM(M1666:M1669)</f>
        <v>0</v>
      </c>
      <c r="N1670" s="458">
        <f t="shared" si="1934"/>
        <v>0</v>
      </c>
      <c r="O1670" s="458">
        <f t="shared" si="1934"/>
        <v>0</v>
      </c>
      <c r="P1670" s="458">
        <f t="shared" si="1934"/>
        <v>0</v>
      </c>
      <c r="Q1670" s="458">
        <f t="shared" si="1934"/>
        <v>36989024</v>
      </c>
      <c r="R1670" s="458">
        <f t="shared" si="1934"/>
        <v>0</v>
      </c>
      <c r="S1670" s="458">
        <f t="shared" si="1934"/>
        <v>36989024</v>
      </c>
      <c r="T1670" s="458">
        <f t="shared" si="1934"/>
        <v>1780677024</v>
      </c>
      <c r="U1670" s="458"/>
      <c r="V1670" s="458"/>
      <c r="W1670" s="458"/>
      <c r="X1670" s="458"/>
      <c r="Y1670" s="458"/>
      <c r="Z1670" s="458">
        <f t="shared" ref="Z1670:AA1670" si="1935">SUM(Z1666:Z1669)</f>
        <v>0</v>
      </c>
      <c r="AA1670" s="458">
        <f t="shared" si="1935"/>
        <v>1780677024</v>
      </c>
      <c r="AB1670" s="458"/>
      <c r="AC1670" s="458"/>
      <c r="AD1670" s="458">
        <f t="shared" ref="AD1670:AE1670" si="1936">SUM(AD1666:AD1669)</f>
        <v>-688755126</v>
      </c>
      <c r="AE1670" s="458">
        <f t="shared" si="1936"/>
        <v>-45157000</v>
      </c>
      <c r="AF1670" s="458"/>
      <c r="AG1670" s="458">
        <f t="shared" ref="AG1670:AI1670" si="1937">SUM(AG1666:AG1669)</f>
        <v>-733912126</v>
      </c>
      <c r="AH1670" s="458">
        <f t="shared" si="1937"/>
        <v>1046764898</v>
      </c>
      <c r="AI1670" s="458">
        <f t="shared" si="1937"/>
        <v>155717951</v>
      </c>
      <c r="AJ1670" s="770">
        <f>AI1670/AH1670*100</f>
        <v>14.876115094948474</v>
      </c>
    </row>
    <row r="1671" spans="1:36" ht="12.5" customHeight="1">
      <c r="A1671" s="40"/>
      <c r="B1671" s="40"/>
      <c r="C1671" s="124"/>
      <c r="D1671" s="124"/>
      <c r="E1671" s="124"/>
      <c r="F1671" s="41"/>
      <c r="G1671" s="41"/>
      <c r="H1671" s="63"/>
      <c r="I1671" s="41"/>
      <c r="J1671" s="544"/>
      <c r="K1671" s="542"/>
      <c r="L1671" s="205"/>
      <c r="M1671" s="205"/>
      <c r="N1671" s="205"/>
      <c r="O1671" s="205"/>
      <c r="P1671" s="205"/>
      <c r="Q1671" s="205"/>
      <c r="R1671" s="205"/>
      <c r="S1671" s="205"/>
      <c r="T1671" s="205"/>
      <c r="U1671" s="205"/>
      <c r="V1671" s="205"/>
      <c r="W1671" s="205"/>
      <c r="X1671" s="205"/>
      <c r="Y1671" s="205"/>
      <c r="Z1671" s="205"/>
      <c r="AA1671" s="205"/>
      <c r="AB1671" s="205"/>
      <c r="AC1671" s="205"/>
      <c r="AD1671" s="205"/>
      <c r="AE1671" s="205"/>
      <c r="AF1671" s="205"/>
      <c r="AG1671" s="205"/>
      <c r="AH1671" s="205"/>
      <c r="AI1671" s="205"/>
      <c r="AJ1671" s="747"/>
    </row>
    <row r="1672" spans="1:36" ht="25.5" customHeight="1">
      <c r="A1672" s="40"/>
      <c r="B1672" s="40">
        <v>10</v>
      </c>
      <c r="C1672" s="124"/>
      <c r="D1672" s="124"/>
      <c r="E1672" s="124"/>
      <c r="F1672" s="41"/>
      <c r="G1672" s="935" t="s">
        <v>404</v>
      </c>
      <c r="H1672" s="935"/>
      <c r="I1672" s="935"/>
      <c r="J1672" s="544"/>
      <c r="K1672" s="542"/>
      <c r="L1672" s="205"/>
      <c r="M1672" s="205"/>
      <c r="N1672" s="205"/>
      <c r="O1672" s="205"/>
      <c r="P1672" s="205"/>
      <c r="Q1672" s="205"/>
      <c r="R1672" s="205"/>
      <c r="S1672" s="205"/>
      <c r="T1672" s="205"/>
      <c r="U1672" s="205"/>
      <c r="V1672" s="205"/>
      <c r="W1672" s="205"/>
      <c r="X1672" s="205"/>
      <c r="Y1672" s="205"/>
      <c r="Z1672" s="205"/>
      <c r="AA1672" s="205"/>
      <c r="AB1672" s="205"/>
      <c r="AC1672" s="205"/>
      <c r="AD1672" s="205"/>
      <c r="AE1672" s="205"/>
      <c r="AF1672" s="205"/>
      <c r="AG1672" s="205"/>
      <c r="AH1672" s="205"/>
      <c r="AI1672" s="205"/>
      <c r="AJ1672" s="747"/>
    </row>
    <row r="1673" spans="1:36" ht="14">
      <c r="A1673" s="40"/>
      <c r="B1673" s="40"/>
      <c r="C1673" s="124">
        <v>1</v>
      </c>
      <c r="D1673" s="124"/>
      <c r="E1673" s="124"/>
      <c r="F1673" s="41"/>
      <c r="G1673" s="41"/>
      <c r="H1673" s="163" t="s">
        <v>35</v>
      </c>
      <c r="I1673" s="66"/>
      <c r="J1673" s="547"/>
      <c r="K1673" s="453"/>
      <c r="L1673" s="526"/>
      <c r="M1673" s="526"/>
      <c r="N1673" s="526"/>
      <c r="O1673" s="526"/>
      <c r="P1673" s="526"/>
      <c r="Q1673" s="526"/>
      <c r="R1673" s="526"/>
      <c r="S1673" s="526"/>
      <c r="T1673" s="526"/>
      <c r="U1673" s="526"/>
      <c r="V1673" s="526"/>
      <c r="W1673" s="526"/>
      <c r="X1673" s="526"/>
      <c r="Y1673" s="526"/>
      <c r="Z1673" s="526"/>
      <c r="AA1673" s="526"/>
      <c r="AB1673" s="526"/>
      <c r="AC1673" s="526"/>
      <c r="AD1673" s="526"/>
      <c r="AE1673" s="526"/>
      <c r="AF1673" s="526"/>
      <c r="AG1673" s="526"/>
      <c r="AH1673" s="526"/>
      <c r="AI1673" s="526"/>
      <c r="AJ1673" s="779"/>
    </row>
    <row r="1674" spans="1:36" ht="14">
      <c r="A1674" s="40"/>
      <c r="B1674" s="40"/>
      <c r="C1674" s="124"/>
      <c r="D1674" s="124">
        <v>3</v>
      </c>
      <c r="E1674" s="124" t="s">
        <v>199</v>
      </c>
      <c r="F1674" s="41"/>
      <c r="G1674" s="41"/>
      <c r="H1674" s="162"/>
      <c r="I1674" s="125" t="s">
        <v>116</v>
      </c>
      <c r="J1674" s="547">
        <v>7005030</v>
      </c>
      <c r="K1674" s="453"/>
      <c r="L1674" s="526">
        <f>SUM(J1674:K1674)</f>
        <v>7005030</v>
      </c>
      <c r="M1674" s="526"/>
      <c r="N1674" s="526"/>
      <c r="O1674" s="526"/>
      <c r="P1674" s="526"/>
      <c r="Q1674" s="526"/>
      <c r="R1674" s="526"/>
      <c r="S1674" s="217">
        <f t="shared" ref="S1674:S1676" si="1938">SUM(M1674:R1674)</f>
        <v>0</v>
      </c>
      <c r="T1674" s="217">
        <f t="shared" ref="T1674:T1676" si="1939">S1674+L1674</f>
        <v>7005030</v>
      </c>
      <c r="U1674" s="526"/>
      <c r="V1674" s="526"/>
      <c r="W1674" s="526"/>
      <c r="X1674" s="526"/>
      <c r="Y1674" s="526"/>
      <c r="Z1674" s="217">
        <f>SUM(U1674:Y1674)</f>
        <v>0</v>
      </c>
      <c r="AA1674" s="217">
        <f>Z1674+T1674</f>
        <v>7005030</v>
      </c>
      <c r="AB1674" s="526"/>
      <c r="AC1674" s="526"/>
      <c r="AD1674" s="526">
        <v>-99900</v>
      </c>
      <c r="AE1674" s="526">
        <v>72045200</v>
      </c>
      <c r="AF1674" s="526"/>
      <c r="AG1674" s="217">
        <f t="shared" ref="AG1674" si="1940">SUM(AB1674:AF1674)</f>
        <v>71945300</v>
      </c>
      <c r="AH1674" s="217">
        <f t="shared" ref="AH1674" si="1941">AG1674+AA1674</f>
        <v>78950330</v>
      </c>
      <c r="AI1674" s="217">
        <v>6844709</v>
      </c>
      <c r="AJ1674" s="764">
        <f>AI1674/AH1674*100</f>
        <v>8.6696395062566562</v>
      </c>
    </row>
    <row r="1675" spans="1:36" ht="14">
      <c r="A1675" s="40"/>
      <c r="B1675" s="40"/>
      <c r="C1675" s="124">
        <v>2</v>
      </c>
      <c r="D1675" s="124"/>
      <c r="E1675" s="124"/>
      <c r="F1675" s="41"/>
      <c r="G1675" s="41"/>
      <c r="H1675" s="66" t="s">
        <v>211</v>
      </c>
      <c r="I1675" s="125"/>
      <c r="J1675" s="547"/>
      <c r="K1675" s="525"/>
      <c r="L1675" s="526"/>
      <c r="M1675" s="526"/>
      <c r="N1675" s="526"/>
      <c r="O1675" s="526"/>
      <c r="P1675" s="526"/>
      <c r="Q1675" s="526"/>
      <c r="R1675" s="526"/>
      <c r="S1675" s="217"/>
      <c r="T1675" s="217"/>
      <c r="U1675" s="526"/>
      <c r="V1675" s="526"/>
      <c r="W1675" s="526"/>
      <c r="X1675" s="526"/>
      <c r="Y1675" s="526"/>
      <c r="Z1675" s="217"/>
      <c r="AA1675" s="217"/>
      <c r="AB1675" s="526"/>
      <c r="AC1675" s="526"/>
      <c r="AD1675" s="526"/>
      <c r="AE1675" s="526"/>
      <c r="AF1675" s="526"/>
      <c r="AG1675" s="217"/>
      <c r="AH1675" s="217"/>
      <c r="AI1675" s="217"/>
      <c r="AJ1675" s="764"/>
    </row>
    <row r="1676" spans="1:36" ht="14">
      <c r="A1676" s="40"/>
      <c r="B1676" s="40"/>
      <c r="C1676" s="124"/>
      <c r="D1676" s="124">
        <v>6</v>
      </c>
      <c r="E1676" s="124" t="s">
        <v>199</v>
      </c>
      <c r="F1676" s="41"/>
      <c r="G1676" s="41"/>
      <c r="H1676" s="125"/>
      <c r="I1676" s="66" t="s">
        <v>213</v>
      </c>
      <c r="J1676" s="547"/>
      <c r="K1676" s="525">
        <v>305060667</v>
      </c>
      <c r="L1676" s="526">
        <f>SUM(J1676:K1676)</f>
        <v>305060667</v>
      </c>
      <c r="M1676" s="526"/>
      <c r="N1676" s="526"/>
      <c r="O1676" s="526"/>
      <c r="P1676" s="526"/>
      <c r="Q1676" s="526"/>
      <c r="R1676" s="526"/>
      <c r="S1676" s="217">
        <f t="shared" si="1938"/>
        <v>0</v>
      </c>
      <c r="T1676" s="217">
        <f t="shared" si="1939"/>
        <v>305060667</v>
      </c>
      <c r="U1676" s="526"/>
      <c r="V1676" s="526"/>
      <c r="W1676" s="526"/>
      <c r="X1676" s="526">
        <v>44277354</v>
      </c>
      <c r="Y1676" s="526"/>
      <c r="Z1676" s="217">
        <f>SUM(U1676:Y1676)</f>
        <v>44277354</v>
      </c>
      <c r="AA1676" s="217">
        <f>Z1676+T1676</f>
        <v>349338021</v>
      </c>
      <c r="AB1676" s="526"/>
      <c r="AC1676" s="526"/>
      <c r="AD1676" s="526">
        <v>-10458748</v>
      </c>
      <c r="AE1676" s="526">
        <v>-70394200</v>
      </c>
      <c r="AF1676" s="526"/>
      <c r="AG1676" s="217">
        <f t="shared" ref="AG1676" si="1942">SUM(AB1676:AF1676)</f>
        <v>-80852948</v>
      </c>
      <c r="AH1676" s="217">
        <f t="shared" ref="AH1676" si="1943">AG1676+AA1676</f>
        <v>268485073</v>
      </c>
      <c r="AI1676" s="217">
        <v>1651000</v>
      </c>
      <c r="AJ1676" s="764">
        <f>AI1676/AH1676*100</f>
        <v>0.61493176568516339</v>
      </c>
    </row>
    <row r="1677" spans="1:36" ht="14">
      <c r="A1677" s="40"/>
      <c r="B1677" s="40"/>
      <c r="C1677" s="124"/>
      <c r="D1677" s="124"/>
      <c r="E1677" s="124"/>
      <c r="F1677" s="41"/>
      <c r="G1677" s="41"/>
      <c r="H1677" s="63"/>
      <c r="I1677" s="41"/>
      <c r="J1677" s="544"/>
      <c r="K1677" s="542"/>
      <c r="L1677" s="205"/>
      <c r="M1677" s="205"/>
      <c r="N1677" s="205"/>
      <c r="O1677" s="205"/>
      <c r="P1677" s="205"/>
      <c r="Q1677" s="205"/>
      <c r="R1677" s="205"/>
      <c r="S1677" s="205"/>
      <c r="T1677" s="205"/>
      <c r="U1677" s="205"/>
      <c r="V1677" s="205"/>
      <c r="W1677" s="205"/>
      <c r="X1677" s="205"/>
      <c r="Y1677" s="205"/>
      <c r="Z1677" s="205"/>
      <c r="AA1677" s="205"/>
      <c r="AB1677" s="205"/>
      <c r="AC1677" s="205"/>
      <c r="AD1677" s="205"/>
      <c r="AE1677" s="205"/>
      <c r="AF1677" s="205"/>
      <c r="AG1677" s="205"/>
      <c r="AH1677" s="205"/>
      <c r="AI1677" s="205"/>
      <c r="AJ1677" s="747"/>
    </row>
    <row r="1678" spans="1:36" ht="14">
      <c r="A1678" s="40"/>
      <c r="B1678" s="40"/>
      <c r="C1678" s="124"/>
      <c r="D1678" s="124"/>
      <c r="E1678" s="124"/>
      <c r="F1678" s="173"/>
      <c r="G1678" s="64"/>
      <c r="H1678" s="65"/>
      <c r="I1678" s="64" t="s">
        <v>38</v>
      </c>
      <c r="J1678" s="548">
        <f>SUM(J1674:J1677)</f>
        <v>7005030</v>
      </c>
      <c r="K1678" s="457">
        <f>SUM(K1674:K1677)</f>
        <v>305060667</v>
      </c>
      <c r="L1678" s="458">
        <f>SUM(L1674:L1677)</f>
        <v>312065697</v>
      </c>
      <c r="M1678" s="458">
        <f t="shared" ref="M1678:T1678" si="1944">SUM(M1674:M1677)</f>
        <v>0</v>
      </c>
      <c r="N1678" s="458">
        <f t="shared" si="1944"/>
        <v>0</v>
      </c>
      <c r="O1678" s="458">
        <f t="shared" si="1944"/>
        <v>0</v>
      </c>
      <c r="P1678" s="458">
        <f t="shared" si="1944"/>
        <v>0</v>
      </c>
      <c r="Q1678" s="458">
        <f t="shared" si="1944"/>
        <v>0</v>
      </c>
      <c r="R1678" s="458">
        <f t="shared" si="1944"/>
        <v>0</v>
      </c>
      <c r="S1678" s="458">
        <f t="shared" si="1944"/>
        <v>0</v>
      </c>
      <c r="T1678" s="458">
        <f t="shared" si="1944"/>
        <v>312065697</v>
      </c>
      <c r="U1678" s="458"/>
      <c r="V1678" s="458"/>
      <c r="W1678" s="458"/>
      <c r="X1678" s="458">
        <f t="shared" ref="X1678:AA1678" si="1945">SUM(X1674:X1677)</f>
        <v>44277354</v>
      </c>
      <c r="Y1678" s="458"/>
      <c r="Z1678" s="458">
        <f t="shared" si="1945"/>
        <v>44277354</v>
      </c>
      <c r="AA1678" s="458">
        <f t="shared" si="1945"/>
        <v>356343051</v>
      </c>
      <c r="AB1678" s="458"/>
      <c r="AC1678" s="458"/>
      <c r="AD1678" s="458">
        <f t="shared" ref="AD1678:AE1678" si="1946">SUM(AD1674:AD1677)</f>
        <v>-10558648</v>
      </c>
      <c r="AE1678" s="458">
        <f t="shared" si="1946"/>
        <v>1651000</v>
      </c>
      <c r="AF1678" s="458"/>
      <c r="AG1678" s="458">
        <f t="shared" ref="AG1678:AI1678" si="1947">SUM(AG1674:AG1677)</f>
        <v>-8907648</v>
      </c>
      <c r="AH1678" s="458">
        <f t="shared" si="1947"/>
        <v>347435403</v>
      </c>
      <c r="AI1678" s="458">
        <f t="shared" si="1947"/>
        <v>8495709</v>
      </c>
      <c r="AJ1678" s="770">
        <f>AI1678/AH1678*100</f>
        <v>2.4452628968268959</v>
      </c>
    </row>
    <row r="1679" spans="1:36" ht="14">
      <c r="A1679" s="40"/>
      <c r="B1679" s="40"/>
      <c r="C1679" s="124"/>
      <c r="D1679" s="124"/>
      <c r="E1679" s="124"/>
      <c r="F1679" s="41"/>
      <c r="G1679" s="41"/>
      <c r="H1679" s="63"/>
      <c r="I1679" s="41"/>
      <c r="J1679" s="544"/>
      <c r="K1679" s="542"/>
      <c r="L1679" s="205"/>
      <c r="M1679" s="205"/>
      <c r="N1679" s="205"/>
      <c r="O1679" s="205"/>
      <c r="P1679" s="205"/>
      <c r="Q1679" s="205"/>
      <c r="R1679" s="205"/>
      <c r="S1679" s="205"/>
      <c r="T1679" s="205"/>
      <c r="U1679" s="205"/>
      <c r="V1679" s="205"/>
      <c r="W1679" s="205"/>
      <c r="X1679" s="205"/>
      <c r="Y1679" s="205"/>
      <c r="Z1679" s="205"/>
      <c r="AA1679" s="205"/>
      <c r="AB1679" s="205"/>
      <c r="AC1679" s="205"/>
      <c r="AD1679" s="205"/>
      <c r="AE1679" s="205"/>
      <c r="AF1679" s="205"/>
      <c r="AG1679" s="205"/>
      <c r="AH1679" s="205"/>
      <c r="AI1679" s="205"/>
      <c r="AJ1679" s="747"/>
    </row>
    <row r="1680" spans="1:36" ht="14">
      <c r="A1680" s="40"/>
      <c r="B1680" s="40">
        <v>11</v>
      </c>
      <c r="C1680" s="124"/>
      <c r="D1680" s="124"/>
      <c r="E1680" s="124"/>
      <c r="F1680" s="41"/>
      <c r="G1680" s="935" t="s">
        <v>405</v>
      </c>
      <c r="H1680" s="935"/>
      <c r="I1680" s="935"/>
      <c r="J1680" s="544"/>
      <c r="K1680" s="542"/>
      <c r="L1680" s="205"/>
      <c r="M1680" s="205"/>
      <c r="N1680" s="205"/>
      <c r="O1680" s="205"/>
      <c r="P1680" s="205"/>
      <c r="Q1680" s="205"/>
      <c r="R1680" s="205"/>
      <c r="S1680" s="205"/>
      <c r="T1680" s="205"/>
      <c r="U1680" s="205"/>
      <c r="V1680" s="205"/>
      <c r="W1680" s="205"/>
      <c r="X1680" s="205"/>
      <c r="Y1680" s="205"/>
      <c r="Z1680" s="205"/>
      <c r="AA1680" s="205"/>
      <c r="AB1680" s="205"/>
      <c r="AC1680" s="205"/>
      <c r="AD1680" s="205"/>
      <c r="AE1680" s="205"/>
      <c r="AF1680" s="205"/>
      <c r="AG1680" s="205"/>
      <c r="AH1680" s="205"/>
      <c r="AI1680" s="205"/>
      <c r="AJ1680" s="747"/>
    </row>
    <row r="1681" spans="1:36" ht="14">
      <c r="A1681" s="40"/>
      <c r="B1681" s="40"/>
      <c r="C1681" s="124">
        <v>1</v>
      </c>
      <c r="D1681" s="124"/>
      <c r="E1681" s="124"/>
      <c r="F1681" s="41"/>
      <c r="G1681" s="41"/>
      <c r="H1681" s="163" t="s">
        <v>35</v>
      </c>
      <c r="I1681" s="66"/>
      <c r="J1681" s="547"/>
      <c r="K1681" s="453"/>
      <c r="L1681" s="526"/>
      <c r="M1681" s="526"/>
      <c r="N1681" s="526"/>
      <c r="O1681" s="526"/>
      <c r="P1681" s="526"/>
      <c r="Q1681" s="526"/>
      <c r="R1681" s="526"/>
      <c r="S1681" s="526"/>
      <c r="T1681" s="526"/>
      <c r="U1681" s="526"/>
      <c r="V1681" s="526"/>
      <c r="W1681" s="526"/>
      <c r="X1681" s="526"/>
      <c r="Y1681" s="526"/>
      <c r="Z1681" s="526"/>
      <c r="AA1681" s="526"/>
      <c r="AB1681" s="526"/>
      <c r="AC1681" s="526"/>
      <c r="AD1681" s="526"/>
      <c r="AE1681" s="526"/>
      <c r="AF1681" s="526"/>
      <c r="AG1681" s="526"/>
      <c r="AH1681" s="526"/>
      <c r="AI1681" s="526"/>
      <c r="AJ1681" s="779"/>
    </row>
    <row r="1682" spans="1:36" ht="14">
      <c r="A1682" s="40"/>
      <c r="B1682" s="40"/>
      <c r="C1682" s="124"/>
      <c r="D1682" s="124">
        <v>3</v>
      </c>
      <c r="E1682" s="124" t="s">
        <v>199</v>
      </c>
      <c r="F1682" s="41"/>
      <c r="G1682" s="41"/>
      <c r="H1682" s="162"/>
      <c r="I1682" s="125" t="s">
        <v>116</v>
      </c>
      <c r="J1682" s="547">
        <v>178879202</v>
      </c>
      <c r="K1682" s="453"/>
      <c r="L1682" s="526">
        <f>SUM(J1682:K1682)</f>
        <v>178879202</v>
      </c>
      <c r="M1682" s="526"/>
      <c r="N1682" s="526"/>
      <c r="O1682" s="526"/>
      <c r="P1682" s="526"/>
      <c r="Q1682" s="526">
        <v>-54191000</v>
      </c>
      <c r="R1682" s="526"/>
      <c r="S1682" s="217">
        <f t="shared" ref="S1682:S1684" si="1948">SUM(M1682:R1682)</f>
        <v>-54191000</v>
      </c>
      <c r="T1682" s="217">
        <f t="shared" ref="T1682:T1684" si="1949">S1682+L1682</f>
        <v>124688202</v>
      </c>
      <c r="U1682" s="526"/>
      <c r="V1682" s="526"/>
      <c r="W1682" s="526"/>
      <c r="X1682" s="526">
        <v>-98531000</v>
      </c>
      <c r="Y1682" s="526"/>
      <c r="Z1682" s="217">
        <f>SUM(U1682:Y1682)</f>
        <v>-98531000</v>
      </c>
      <c r="AA1682" s="217">
        <f>Z1682+T1682</f>
        <v>26157202</v>
      </c>
      <c r="AB1682" s="526"/>
      <c r="AC1682" s="526"/>
      <c r="AD1682" s="526">
        <v>-247695</v>
      </c>
      <c r="AE1682" s="526"/>
      <c r="AF1682" s="526"/>
      <c r="AG1682" s="217">
        <f t="shared" ref="AG1682" si="1950">SUM(AB1682:AF1682)</f>
        <v>-247695</v>
      </c>
      <c r="AH1682" s="217">
        <f t="shared" ref="AH1682" si="1951">AG1682+AA1682</f>
        <v>25909507</v>
      </c>
      <c r="AI1682" s="217">
        <v>25310001</v>
      </c>
      <c r="AJ1682" s="764">
        <f>AI1682/AH1682*100</f>
        <v>97.686154352531673</v>
      </c>
    </row>
    <row r="1683" spans="1:36" ht="14">
      <c r="A1683" s="40"/>
      <c r="B1683" s="40"/>
      <c r="C1683" s="124">
        <v>2</v>
      </c>
      <c r="D1683" s="124"/>
      <c r="E1683" s="124"/>
      <c r="F1683" s="41"/>
      <c r="G1683" s="41"/>
      <c r="H1683" s="66" t="s">
        <v>211</v>
      </c>
      <c r="I1683" s="125"/>
      <c r="J1683" s="547"/>
      <c r="K1683" s="525"/>
      <c r="L1683" s="526"/>
      <c r="M1683" s="526"/>
      <c r="N1683" s="526"/>
      <c r="O1683" s="526"/>
      <c r="P1683" s="526"/>
      <c r="Q1683" s="526"/>
      <c r="R1683" s="526"/>
      <c r="S1683" s="217"/>
      <c r="T1683" s="217"/>
      <c r="U1683" s="526"/>
      <c r="V1683" s="526"/>
      <c r="W1683" s="526"/>
      <c r="X1683" s="526"/>
      <c r="Y1683" s="526"/>
      <c r="Z1683" s="217"/>
      <c r="AA1683" s="217"/>
      <c r="AB1683" s="526"/>
      <c r="AC1683" s="526"/>
      <c r="AD1683" s="526"/>
      <c r="AE1683" s="526"/>
      <c r="AF1683" s="526"/>
      <c r="AG1683" s="217"/>
      <c r="AH1683" s="217"/>
      <c r="AI1683" s="217"/>
      <c r="AJ1683" s="764"/>
    </row>
    <row r="1684" spans="1:36" ht="14">
      <c r="A1684" s="40"/>
      <c r="B1684" s="40"/>
      <c r="C1684" s="124"/>
      <c r="D1684" s="124">
        <v>6</v>
      </c>
      <c r="E1684" s="124" t="s">
        <v>199</v>
      </c>
      <c r="F1684" s="41"/>
      <c r="G1684" s="41"/>
      <c r="H1684" s="125"/>
      <c r="I1684" s="66" t="s">
        <v>213</v>
      </c>
      <c r="J1684" s="547"/>
      <c r="K1684" s="525">
        <v>918848155</v>
      </c>
      <c r="L1684" s="526">
        <f>SUM(J1684:K1684)</f>
        <v>918848155</v>
      </c>
      <c r="M1684" s="526"/>
      <c r="N1684" s="526"/>
      <c r="O1684" s="526"/>
      <c r="P1684" s="526"/>
      <c r="Q1684" s="526"/>
      <c r="R1684" s="526"/>
      <c r="S1684" s="217">
        <f t="shared" si="1948"/>
        <v>0</v>
      </c>
      <c r="T1684" s="217">
        <f t="shared" si="1949"/>
        <v>918848155</v>
      </c>
      <c r="U1684" s="526"/>
      <c r="V1684" s="526"/>
      <c r="W1684" s="526"/>
      <c r="X1684" s="526">
        <v>-13354000</v>
      </c>
      <c r="Y1684" s="526"/>
      <c r="Z1684" s="217">
        <f>SUM(U1684:Y1684)</f>
        <v>-13354000</v>
      </c>
      <c r="AA1684" s="217">
        <f>Z1684+T1684</f>
        <v>905494155</v>
      </c>
      <c r="AB1684" s="526"/>
      <c r="AC1684" s="526"/>
      <c r="AD1684" s="526">
        <v>-132738355</v>
      </c>
      <c r="AE1684" s="526">
        <v>19506798</v>
      </c>
      <c r="AF1684" s="526"/>
      <c r="AG1684" s="217">
        <f t="shared" ref="AG1684" si="1952">SUM(AB1684:AF1684)</f>
        <v>-113231557</v>
      </c>
      <c r="AH1684" s="217">
        <f t="shared" ref="AH1684" si="1953">AG1684+AA1684</f>
        <v>792262598</v>
      </c>
      <c r="AI1684" s="217">
        <v>789616647</v>
      </c>
      <c r="AJ1684" s="764">
        <f>AI1684/AH1684*100</f>
        <v>99.666026011239268</v>
      </c>
    </row>
    <row r="1685" spans="1:36" ht="14">
      <c r="A1685" s="40"/>
      <c r="B1685" s="40"/>
      <c r="C1685" s="124"/>
      <c r="D1685" s="124"/>
      <c r="E1685" s="124"/>
      <c r="F1685" s="41"/>
      <c r="G1685" s="41"/>
      <c r="H1685" s="63"/>
      <c r="I1685" s="41"/>
      <c r="J1685" s="544"/>
      <c r="K1685" s="542"/>
      <c r="L1685" s="205"/>
      <c r="M1685" s="205"/>
      <c r="N1685" s="205"/>
      <c r="O1685" s="205"/>
      <c r="P1685" s="205"/>
      <c r="Q1685" s="205"/>
      <c r="R1685" s="205"/>
      <c r="S1685" s="205"/>
      <c r="T1685" s="205"/>
      <c r="U1685" s="205"/>
      <c r="V1685" s="205"/>
      <c r="W1685" s="205"/>
      <c r="X1685" s="205"/>
      <c r="Y1685" s="205"/>
      <c r="Z1685" s="205"/>
      <c r="AA1685" s="205"/>
      <c r="AB1685" s="205"/>
      <c r="AC1685" s="205"/>
      <c r="AD1685" s="205"/>
      <c r="AE1685" s="205"/>
      <c r="AF1685" s="205"/>
      <c r="AG1685" s="205"/>
      <c r="AH1685" s="205"/>
      <c r="AI1685" s="205"/>
      <c r="AJ1685" s="747"/>
    </row>
    <row r="1686" spans="1:36" ht="14">
      <c r="A1686" s="40"/>
      <c r="B1686" s="40"/>
      <c r="C1686" s="124"/>
      <c r="D1686" s="124"/>
      <c r="E1686" s="124"/>
      <c r="F1686" s="173"/>
      <c r="G1686" s="64"/>
      <c r="H1686" s="65"/>
      <c r="I1686" s="64" t="s">
        <v>38</v>
      </c>
      <c r="J1686" s="548">
        <f>SUM(J1682:J1685)</f>
        <v>178879202</v>
      </c>
      <c r="K1686" s="457">
        <f>SUM(K1682:K1685)</f>
        <v>918848155</v>
      </c>
      <c r="L1686" s="458">
        <f>SUM(L1682:L1685)</f>
        <v>1097727357</v>
      </c>
      <c r="M1686" s="458">
        <f t="shared" ref="M1686:T1686" si="1954">SUM(M1682:M1685)</f>
        <v>0</v>
      </c>
      <c r="N1686" s="458">
        <f t="shared" si="1954"/>
        <v>0</v>
      </c>
      <c r="O1686" s="458">
        <f t="shared" si="1954"/>
        <v>0</v>
      </c>
      <c r="P1686" s="458">
        <f t="shared" si="1954"/>
        <v>0</v>
      </c>
      <c r="Q1686" s="458">
        <f t="shared" si="1954"/>
        <v>-54191000</v>
      </c>
      <c r="R1686" s="458">
        <f t="shared" si="1954"/>
        <v>0</v>
      </c>
      <c r="S1686" s="458">
        <f t="shared" si="1954"/>
        <v>-54191000</v>
      </c>
      <c r="T1686" s="458">
        <f t="shared" si="1954"/>
        <v>1043536357</v>
      </c>
      <c r="U1686" s="458"/>
      <c r="V1686" s="458"/>
      <c r="W1686" s="458"/>
      <c r="X1686" s="458">
        <f t="shared" ref="X1686:AA1686" si="1955">SUM(X1682:X1685)</f>
        <v>-111885000</v>
      </c>
      <c r="Y1686" s="458"/>
      <c r="Z1686" s="458">
        <f t="shared" si="1955"/>
        <v>-111885000</v>
      </c>
      <c r="AA1686" s="458">
        <f t="shared" si="1955"/>
        <v>931651357</v>
      </c>
      <c r="AB1686" s="458"/>
      <c r="AC1686" s="458"/>
      <c r="AD1686" s="458">
        <f t="shared" ref="AD1686:AE1686" si="1956">SUM(AD1682:AD1685)</f>
        <v>-132986050</v>
      </c>
      <c r="AE1686" s="458">
        <f t="shared" si="1956"/>
        <v>19506798</v>
      </c>
      <c r="AF1686" s="458"/>
      <c r="AG1686" s="458">
        <f t="shared" ref="AG1686:AI1686" si="1957">SUM(AG1682:AG1685)</f>
        <v>-113479252</v>
      </c>
      <c r="AH1686" s="458">
        <f t="shared" si="1957"/>
        <v>818172105</v>
      </c>
      <c r="AI1686" s="458">
        <f t="shared" si="1957"/>
        <v>814926648</v>
      </c>
      <c r="AJ1686" s="770">
        <f>AI1686/AH1686*100</f>
        <v>99.603328324179415</v>
      </c>
    </row>
    <row r="1687" spans="1:36" ht="12.5" customHeight="1">
      <c r="A1687" s="40"/>
      <c r="B1687" s="40"/>
      <c r="C1687" s="124"/>
      <c r="D1687" s="124"/>
      <c r="E1687" s="124"/>
      <c r="F1687" s="41"/>
      <c r="G1687" s="41"/>
      <c r="H1687" s="63"/>
      <c r="I1687" s="41"/>
      <c r="J1687" s="544"/>
      <c r="K1687" s="542"/>
      <c r="L1687" s="205"/>
      <c r="M1687" s="205"/>
      <c r="N1687" s="205"/>
      <c r="O1687" s="205"/>
      <c r="P1687" s="205"/>
      <c r="Q1687" s="205"/>
      <c r="R1687" s="205"/>
      <c r="S1687" s="205"/>
      <c r="T1687" s="205"/>
      <c r="U1687" s="205"/>
      <c r="V1687" s="205"/>
      <c r="W1687" s="205"/>
      <c r="X1687" s="205"/>
      <c r="Y1687" s="205"/>
      <c r="Z1687" s="205"/>
      <c r="AA1687" s="205"/>
      <c r="AB1687" s="205"/>
      <c r="AC1687" s="205"/>
      <c r="AD1687" s="205"/>
      <c r="AE1687" s="205"/>
      <c r="AF1687" s="205"/>
      <c r="AG1687" s="205"/>
      <c r="AH1687" s="205"/>
      <c r="AI1687" s="205"/>
      <c r="AJ1687" s="747"/>
    </row>
    <row r="1688" spans="1:36" ht="28.5" customHeight="1">
      <c r="A1688" s="40"/>
      <c r="B1688" s="40">
        <v>12</v>
      </c>
      <c r="C1688" s="124"/>
      <c r="D1688" s="124"/>
      <c r="E1688" s="124"/>
      <c r="F1688" s="41"/>
      <c r="G1688" s="935" t="s">
        <v>406</v>
      </c>
      <c r="H1688" s="935"/>
      <c r="I1688" s="935"/>
      <c r="J1688" s="544"/>
      <c r="K1688" s="542"/>
      <c r="L1688" s="205"/>
      <c r="M1688" s="205"/>
      <c r="N1688" s="205"/>
      <c r="O1688" s="205"/>
      <c r="P1688" s="205"/>
      <c r="Q1688" s="205"/>
      <c r="R1688" s="205"/>
      <c r="S1688" s="205"/>
      <c r="T1688" s="205"/>
      <c r="U1688" s="205"/>
      <c r="V1688" s="205"/>
      <c r="W1688" s="205"/>
      <c r="X1688" s="205"/>
      <c r="Y1688" s="205"/>
      <c r="Z1688" s="205"/>
      <c r="AA1688" s="205"/>
      <c r="AB1688" s="205"/>
      <c r="AC1688" s="205"/>
      <c r="AD1688" s="205"/>
      <c r="AE1688" s="205"/>
      <c r="AF1688" s="205"/>
      <c r="AG1688" s="205"/>
      <c r="AH1688" s="205"/>
      <c r="AI1688" s="205"/>
      <c r="AJ1688" s="747"/>
    </row>
    <row r="1689" spans="1:36" ht="14">
      <c r="A1689" s="40"/>
      <c r="B1689" s="40"/>
      <c r="C1689" s="124">
        <v>1</v>
      </c>
      <c r="D1689" s="124"/>
      <c r="E1689" s="124"/>
      <c r="F1689" s="41"/>
      <c r="G1689" s="41"/>
      <c r="H1689" s="163" t="s">
        <v>35</v>
      </c>
      <c r="I1689" s="66"/>
      <c r="J1689" s="547"/>
      <c r="K1689" s="453"/>
      <c r="L1689" s="526"/>
      <c r="M1689" s="526"/>
      <c r="N1689" s="526"/>
      <c r="O1689" s="526"/>
      <c r="P1689" s="526"/>
      <c r="Q1689" s="526"/>
      <c r="R1689" s="526"/>
      <c r="S1689" s="526"/>
      <c r="T1689" s="526"/>
      <c r="U1689" s="526"/>
      <c r="V1689" s="526"/>
      <c r="W1689" s="526"/>
      <c r="X1689" s="526"/>
      <c r="Y1689" s="526"/>
      <c r="Z1689" s="526"/>
      <c r="AA1689" s="526"/>
      <c r="AB1689" s="526"/>
      <c r="AC1689" s="526"/>
      <c r="AD1689" s="526"/>
      <c r="AE1689" s="526"/>
      <c r="AF1689" s="526"/>
      <c r="AG1689" s="526"/>
      <c r="AH1689" s="526"/>
      <c r="AI1689" s="526"/>
      <c r="AJ1689" s="779"/>
    </row>
    <row r="1690" spans="1:36" ht="14">
      <c r="A1690" s="40"/>
      <c r="B1690" s="40"/>
      <c r="C1690" s="124"/>
      <c r="D1690" s="124">
        <v>3</v>
      </c>
      <c r="E1690" s="124" t="s">
        <v>199</v>
      </c>
      <c r="F1690" s="41"/>
      <c r="G1690" s="41"/>
      <c r="H1690" s="162"/>
      <c r="I1690" s="125" t="s">
        <v>116</v>
      </c>
      <c r="J1690" s="547">
        <v>52696730</v>
      </c>
      <c r="K1690" s="453"/>
      <c r="L1690" s="526">
        <f>SUM(J1690:K1690)</f>
        <v>52696730</v>
      </c>
      <c r="M1690" s="526"/>
      <c r="N1690" s="526"/>
      <c r="O1690" s="526"/>
      <c r="P1690" s="526"/>
      <c r="Q1690" s="526"/>
      <c r="R1690" s="526"/>
      <c r="S1690" s="217">
        <f t="shared" ref="S1690:S1692" si="1958">SUM(M1690:R1690)</f>
        <v>0</v>
      </c>
      <c r="T1690" s="217">
        <f t="shared" ref="T1690:T1692" si="1959">S1690+L1690</f>
        <v>52696730</v>
      </c>
      <c r="U1690" s="526"/>
      <c r="V1690" s="526"/>
      <c r="W1690" s="526"/>
      <c r="X1690" s="526"/>
      <c r="Y1690" s="526"/>
      <c r="Z1690" s="217">
        <f>SUM(U1690:Y1690)</f>
        <v>0</v>
      </c>
      <c r="AA1690" s="217">
        <f>Z1690+T1690</f>
        <v>52696730</v>
      </c>
      <c r="AB1690" s="526"/>
      <c r="AC1690" s="526"/>
      <c r="AD1690" s="526"/>
      <c r="AE1690" s="526"/>
      <c r="AF1690" s="526"/>
      <c r="AG1690" s="217">
        <f t="shared" ref="AG1690" si="1960">SUM(AB1690:AF1690)</f>
        <v>0</v>
      </c>
      <c r="AH1690" s="217">
        <f t="shared" ref="AH1690" si="1961">AG1690+AA1690</f>
        <v>52696730</v>
      </c>
      <c r="AI1690" s="217">
        <v>12420600</v>
      </c>
      <c r="AJ1690" s="764">
        <f>AI1690/AH1690*100</f>
        <v>23.569963449344961</v>
      </c>
    </row>
    <row r="1691" spans="1:36" ht="14">
      <c r="A1691" s="40"/>
      <c r="B1691" s="40"/>
      <c r="C1691" s="124">
        <v>2</v>
      </c>
      <c r="D1691" s="124"/>
      <c r="E1691" s="124"/>
      <c r="F1691" s="41"/>
      <c r="G1691" s="41"/>
      <c r="H1691" s="66" t="s">
        <v>211</v>
      </c>
      <c r="I1691" s="125"/>
      <c r="J1691" s="547"/>
      <c r="K1691" s="525"/>
      <c r="L1691" s="526"/>
      <c r="M1691" s="526"/>
      <c r="N1691" s="526"/>
      <c r="O1691" s="526"/>
      <c r="P1691" s="526"/>
      <c r="Q1691" s="526"/>
      <c r="R1691" s="526"/>
      <c r="S1691" s="217"/>
      <c r="T1691" s="217"/>
      <c r="U1691" s="526"/>
      <c r="V1691" s="526"/>
      <c r="W1691" s="526"/>
      <c r="X1691" s="526"/>
      <c r="Y1691" s="526"/>
      <c r="Z1691" s="217"/>
      <c r="AA1691" s="217"/>
      <c r="AB1691" s="526"/>
      <c r="AC1691" s="526"/>
      <c r="AD1691" s="526"/>
      <c r="AE1691" s="526"/>
      <c r="AF1691" s="526"/>
      <c r="AG1691" s="217"/>
      <c r="AH1691" s="217"/>
      <c r="AI1691" s="217"/>
      <c r="AJ1691" s="764"/>
    </row>
    <row r="1692" spans="1:36" ht="14">
      <c r="A1692" s="40"/>
      <c r="B1692" s="40"/>
      <c r="C1692" s="124"/>
      <c r="D1692" s="124">
        <v>6</v>
      </c>
      <c r="E1692" s="124" t="s">
        <v>199</v>
      </c>
      <c r="F1692" s="41"/>
      <c r="G1692" s="41"/>
      <c r="H1692" s="125"/>
      <c r="I1692" s="66" t="s">
        <v>213</v>
      </c>
      <c r="J1692" s="547"/>
      <c r="K1692" s="525">
        <v>427857571</v>
      </c>
      <c r="L1692" s="526">
        <f>SUM(J1692:K1692)</f>
        <v>427857571</v>
      </c>
      <c r="M1692" s="526"/>
      <c r="N1692" s="526"/>
      <c r="O1692" s="526"/>
      <c r="P1692" s="526"/>
      <c r="Q1692" s="526"/>
      <c r="R1692" s="526"/>
      <c r="S1692" s="217">
        <f t="shared" si="1958"/>
        <v>0</v>
      </c>
      <c r="T1692" s="217">
        <f t="shared" si="1959"/>
        <v>427857571</v>
      </c>
      <c r="U1692" s="526"/>
      <c r="V1692" s="526"/>
      <c r="W1692" s="526"/>
      <c r="X1692" s="526"/>
      <c r="Y1692" s="526"/>
      <c r="Z1692" s="217">
        <f>SUM(U1692:Y1692)</f>
        <v>0</v>
      </c>
      <c r="AA1692" s="217">
        <f>Z1692+T1692</f>
        <v>427857571</v>
      </c>
      <c r="AB1692" s="526"/>
      <c r="AC1692" s="526"/>
      <c r="AD1692" s="526"/>
      <c r="AE1692" s="526"/>
      <c r="AF1692" s="526"/>
      <c r="AG1692" s="217">
        <f t="shared" ref="AG1692" si="1962">SUM(AB1692:AF1692)</f>
        <v>0</v>
      </c>
      <c r="AH1692" s="217">
        <f t="shared" ref="AH1692" si="1963">AG1692+AA1692</f>
        <v>427857571</v>
      </c>
      <c r="AI1692" s="217">
        <v>7747000</v>
      </c>
      <c r="AJ1692" s="764">
        <f>AI1692/AH1692*100</f>
        <v>1.8106492732835151</v>
      </c>
    </row>
    <row r="1693" spans="1:36" ht="14">
      <c r="A1693" s="40"/>
      <c r="B1693" s="40"/>
      <c r="C1693" s="124"/>
      <c r="D1693" s="124"/>
      <c r="E1693" s="124"/>
      <c r="F1693" s="41"/>
      <c r="G1693" s="41"/>
      <c r="H1693" s="63"/>
      <c r="I1693" s="41"/>
      <c r="J1693" s="549"/>
      <c r="K1693" s="549"/>
      <c r="L1693" s="550"/>
      <c r="M1693" s="550"/>
      <c r="N1693" s="550"/>
      <c r="O1693" s="550"/>
      <c r="P1693" s="550"/>
      <c r="Q1693" s="550"/>
      <c r="R1693" s="550"/>
      <c r="S1693" s="550"/>
      <c r="T1693" s="550"/>
      <c r="U1693" s="550"/>
      <c r="V1693" s="550"/>
      <c r="W1693" s="550"/>
      <c r="X1693" s="550"/>
      <c r="Y1693" s="550"/>
      <c r="Z1693" s="550"/>
      <c r="AA1693" s="550"/>
      <c r="AB1693" s="550"/>
      <c r="AC1693" s="550"/>
      <c r="AD1693" s="550"/>
      <c r="AE1693" s="550"/>
      <c r="AF1693" s="550"/>
      <c r="AG1693" s="550"/>
      <c r="AH1693" s="550"/>
      <c r="AI1693" s="550"/>
      <c r="AJ1693" s="783"/>
    </row>
    <row r="1694" spans="1:36" ht="14">
      <c r="A1694" s="40"/>
      <c r="B1694" s="40"/>
      <c r="C1694" s="124"/>
      <c r="D1694" s="124"/>
      <c r="E1694" s="124"/>
      <c r="F1694" s="64"/>
      <c r="G1694" s="64"/>
      <c r="H1694" s="65"/>
      <c r="I1694" s="64" t="s">
        <v>38</v>
      </c>
      <c r="J1694" s="548">
        <f>SUM(J1690:J1693)</f>
        <v>52696730</v>
      </c>
      <c r="K1694" s="457">
        <f>SUM(K1690:K1693)</f>
        <v>427857571</v>
      </c>
      <c r="L1694" s="458">
        <f>SUM(L1690:L1693)</f>
        <v>480554301</v>
      </c>
      <c r="M1694" s="458">
        <f t="shared" ref="M1694:T1694" si="1964">SUM(M1690:M1693)</f>
        <v>0</v>
      </c>
      <c r="N1694" s="458">
        <f t="shared" si="1964"/>
        <v>0</v>
      </c>
      <c r="O1694" s="458">
        <f t="shared" si="1964"/>
        <v>0</v>
      </c>
      <c r="P1694" s="458">
        <f t="shared" si="1964"/>
        <v>0</v>
      </c>
      <c r="Q1694" s="458">
        <f t="shared" si="1964"/>
        <v>0</v>
      </c>
      <c r="R1694" s="458">
        <f t="shared" si="1964"/>
        <v>0</v>
      </c>
      <c r="S1694" s="458">
        <f t="shared" si="1964"/>
        <v>0</v>
      </c>
      <c r="T1694" s="458">
        <f t="shared" si="1964"/>
        <v>480554301</v>
      </c>
      <c r="U1694" s="458"/>
      <c r="V1694" s="458"/>
      <c r="W1694" s="458"/>
      <c r="X1694" s="458"/>
      <c r="Y1694" s="458"/>
      <c r="Z1694" s="458">
        <f t="shared" ref="Z1694:AA1694" si="1965">SUM(Z1690:Z1693)</f>
        <v>0</v>
      </c>
      <c r="AA1694" s="458">
        <f t="shared" si="1965"/>
        <v>480554301</v>
      </c>
      <c r="AB1694" s="458"/>
      <c r="AC1694" s="458"/>
      <c r="AD1694" s="458"/>
      <c r="AE1694" s="458"/>
      <c r="AF1694" s="458"/>
      <c r="AG1694" s="458">
        <f t="shared" ref="AG1694:AI1694" si="1966">SUM(AG1690:AG1693)</f>
        <v>0</v>
      </c>
      <c r="AH1694" s="458">
        <f t="shared" si="1966"/>
        <v>480554301</v>
      </c>
      <c r="AI1694" s="458">
        <f t="shared" si="1966"/>
        <v>20167600</v>
      </c>
      <c r="AJ1694" s="770">
        <f>AI1694/AH1694*100</f>
        <v>4.1967369677126252</v>
      </c>
    </row>
    <row r="1695" spans="1:36" ht="14">
      <c r="A1695" s="40"/>
      <c r="B1695" s="40"/>
      <c r="C1695" s="124"/>
      <c r="D1695" s="124"/>
      <c r="E1695" s="124"/>
      <c r="F1695" s="41"/>
      <c r="G1695" s="41"/>
      <c r="H1695" s="63"/>
      <c r="I1695" s="41"/>
      <c r="J1695" s="551"/>
      <c r="K1695" s="551"/>
      <c r="L1695" s="552"/>
      <c r="M1695" s="552"/>
      <c r="N1695" s="552"/>
      <c r="O1695" s="552"/>
      <c r="P1695" s="552"/>
      <c r="Q1695" s="552"/>
      <c r="R1695" s="552"/>
      <c r="S1695" s="552"/>
      <c r="T1695" s="552"/>
      <c r="U1695" s="552"/>
      <c r="V1695" s="552"/>
      <c r="W1695" s="552"/>
      <c r="X1695" s="552"/>
      <c r="Y1695" s="552"/>
      <c r="Z1695" s="552"/>
      <c r="AA1695" s="552"/>
      <c r="AB1695" s="552"/>
      <c r="AC1695" s="552"/>
      <c r="AD1695" s="552"/>
      <c r="AE1695" s="552"/>
      <c r="AF1695" s="552"/>
      <c r="AG1695" s="552"/>
      <c r="AH1695" s="552"/>
      <c r="AI1695" s="552"/>
      <c r="AJ1695" s="784"/>
    </row>
    <row r="1696" spans="1:36" ht="14">
      <c r="A1696" s="40"/>
      <c r="B1696" s="40">
        <v>13</v>
      </c>
      <c r="C1696" s="124"/>
      <c r="D1696" s="124"/>
      <c r="E1696" s="124"/>
      <c r="F1696" s="41"/>
      <c r="G1696" s="935" t="s">
        <v>407</v>
      </c>
      <c r="H1696" s="935"/>
      <c r="I1696" s="935"/>
      <c r="J1696" s="544"/>
      <c r="K1696" s="542"/>
      <c r="L1696" s="205"/>
      <c r="M1696" s="205"/>
      <c r="N1696" s="205"/>
      <c r="O1696" s="205"/>
      <c r="P1696" s="205"/>
      <c r="Q1696" s="205"/>
      <c r="R1696" s="205"/>
      <c r="S1696" s="205"/>
      <c r="T1696" s="205"/>
      <c r="U1696" s="205"/>
      <c r="V1696" s="205"/>
      <c r="W1696" s="205"/>
      <c r="X1696" s="205"/>
      <c r="Y1696" s="205"/>
      <c r="Z1696" s="205"/>
      <c r="AA1696" s="205"/>
      <c r="AB1696" s="205"/>
      <c r="AC1696" s="205"/>
      <c r="AD1696" s="205"/>
      <c r="AE1696" s="205"/>
      <c r="AF1696" s="205"/>
      <c r="AG1696" s="205"/>
      <c r="AH1696" s="205"/>
      <c r="AI1696" s="205"/>
      <c r="AJ1696" s="747"/>
    </row>
    <row r="1697" spans="1:36" ht="14">
      <c r="A1697" s="40"/>
      <c r="B1697" s="40"/>
      <c r="C1697" s="124">
        <v>1</v>
      </c>
      <c r="D1697" s="124"/>
      <c r="E1697" s="124"/>
      <c r="F1697" s="41"/>
      <c r="G1697" s="41"/>
      <c r="H1697" s="163" t="s">
        <v>35</v>
      </c>
      <c r="I1697" s="66"/>
      <c r="J1697" s="547"/>
      <c r="K1697" s="453"/>
      <c r="L1697" s="526"/>
      <c r="M1697" s="526"/>
      <c r="N1697" s="526"/>
      <c r="O1697" s="526"/>
      <c r="P1697" s="526"/>
      <c r="Q1697" s="526"/>
      <c r="R1697" s="526"/>
      <c r="S1697" s="526"/>
      <c r="T1697" s="526"/>
      <c r="U1697" s="526"/>
      <c r="V1697" s="526"/>
      <c r="W1697" s="526"/>
      <c r="X1697" s="526"/>
      <c r="Y1697" s="526"/>
      <c r="Z1697" s="526"/>
      <c r="AA1697" s="526"/>
      <c r="AB1697" s="526"/>
      <c r="AC1697" s="526"/>
      <c r="AD1697" s="526"/>
      <c r="AE1697" s="526"/>
      <c r="AF1697" s="526"/>
      <c r="AG1697" s="526"/>
      <c r="AH1697" s="526"/>
      <c r="AI1697" s="526"/>
      <c r="AJ1697" s="779"/>
    </row>
    <row r="1698" spans="1:36" ht="14">
      <c r="A1698" s="40"/>
      <c r="B1698" s="40"/>
      <c r="C1698" s="124"/>
      <c r="D1698" s="124">
        <v>3</v>
      </c>
      <c r="E1698" s="124" t="s">
        <v>199</v>
      </c>
      <c r="F1698" s="41"/>
      <c r="G1698" s="41"/>
      <c r="H1698" s="162"/>
      <c r="I1698" s="125" t="s">
        <v>116</v>
      </c>
      <c r="J1698" s="547">
        <v>3128518</v>
      </c>
      <c r="K1698" s="453"/>
      <c r="L1698" s="526">
        <f>SUM(J1698:K1698)</f>
        <v>3128518</v>
      </c>
      <c r="M1698" s="526"/>
      <c r="N1698" s="526"/>
      <c r="O1698" s="526"/>
      <c r="P1698" s="526"/>
      <c r="Q1698" s="526"/>
      <c r="R1698" s="526"/>
      <c r="S1698" s="217">
        <f t="shared" ref="S1698:S1700" si="1967">SUM(M1698:R1698)</f>
        <v>0</v>
      </c>
      <c r="T1698" s="217">
        <f t="shared" ref="T1698:T1700" si="1968">S1698+L1698</f>
        <v>3128518</v>
      </c>
      <c r="U1698" s="526"/>
      <c r="V1698" s="526"/>
      <c r="W1698" s="526"/>
      <c r="X1698" s="526"/>
      <c r="Y1698" s="526"/>
      <c r="Z1698" s="217">
        <f>SUM(U1698:Y1698)</f>
        <v>0</v>
      </c>
      <c r="AA1698" s="217">
        <f>Z1698+T1698</f>
        <v>3128518</v>
      </c>
      <c r="AB1698" s="526"/>
      <c r="AC1698" s="526"/>
      <c r="AD1698" s="526"/>
      <c r="AE1698" s="526">
        <v>3950871</v>
      </c>
      <c r="AF1698" s="526"/>
      <c r="AG1698" s="217">
        <f t="shared" ref="AG1698" si="1969">SUM(AB1698:AF1698)</f>
        <v>3950871</v>
      </c>
      <c r="AH1698" s="217">
        <f t="shared" ref="AH1698" si="1970">AG1698+AA1698</f>
        <v>7079389</v>
      </c>
      <c r="AI1698" s="217">
        <v>2268172</v>
      </c>
      <c r="AJ1698" s="764">
        <f>AI1698/AH1698*100</f>
        <v>32.0390926392094</v>
      </c>
    </row>
    <row r="1699" spans="1:36" ht="14">
      <c r="A1699" s="40"/>
      <c r="B1699" s="40"/>
      <c r="C1699" s="124">
        <v>2</v>
      </c>
      <c r="D1699" s="124"/>
      <c r="E1699" s="124"/>
      <c r="F1699" s="41"/>
      <c r="G1699" s="41"/>
      <c r="H1699" s="66" t="s">
        <v>211</v>
      </c>
      <c r="I1699" s="125"/>
      <c r="J1699" s="547"/>
      <c r="K1699" s="525"/>
      <c r="L1699" s="526"/>
      <c r="M1699" s="526"/>
      <c r="N1699" s="526"/>
      <c r="O1699" s="526"/>
      <c r="P1699" s="526"/>
      <c r="Q1699" s="526"/>
      <c r="R1699" s="526"/>
      <c r="S1699" s="217"/>
      <c r="T1699" s="217"/>
      <c r="U1699" s="526"/>
      <c r="V1699" s="526"/>
      <c r="W1699" s="526"/>
      <c r="X1699" s="526"/>
      <c r="Y1699" s="526"/>
      <c r="Z1699" s="217"/>
      <c r="AA1699" s="217"/>
      <c r="AB1699" s="526"/>
      <c r="AC1699" s="526"/>
      <c r="AD1699" s="526"/>
      <c r="AE1699" s="526"/>
      <c r="AF1699" s="526"/>
      <c r="AG1699" s="217"/>
      <c r="AH1699" s="217"/>
      <c r="AI1699" s="217"/>
      <c r="AJ1699" s="764"/>
    </row>
    <row r="1700" spans="1:36" ht="14">
      <c r="A1700" s="40"/>
      <c r="B1700" s="40"/>
      <c r="C1700" s="124"/>
      <c r="D1700" s="124">
        <v>6</v>
      </c>
      <c r="E1700" s="124" t="s">
        <v>199</v>
      </c>
      <c r="F1700" s="41"/>
      <c r="G1700" s="41"/>
      <c r="H1700" s="125"/>
      <c r="I1700" s="66" t="s">
        <v>213</v>
      </c>
      <c r="J1700" s="547"/>
      <c r="K1700" s="525">
        <v>64254270</v>
      </c>
      <c r="L1700" s="526">
        <f>SUM(J1700:K1700)</f>
        <v>64254270</v>
      </c>
      <c r="M1700" s="526"/>
      <c r="N1700" s="526"/>
      <c r="O1700" s="526"/>
      <c r="P1700" s="526"/>
      <c r="Q1700" s="526"/>
      <c r="R1700" s="526"/>
      <c r="S1700" s="217">
        <f t="shared" si="1967"/>
        <v>0</v>
      </c>
      <c r="T1700" s="217">
        <f t="shared" si="1968"/>
        <v>64254270</v>
      </c>
      <c r="U1700" s="526"/>
      <c r="V1700" s="526"/>
      <c r="W1700" s="526"/>
      <c r="X1700" s="526"/>
      <c r="Y1700" s="526"/>
      <c r="Z1700" s="217">
        <f>SUM(U1700:Y1700)</f>
        <v>0</v>
      </c>
      <c r="AA1700" s="217">
        <f>Z1700+T1700</f>
        <v>64254270</v>
      </c>
      <c r="AB1700" s="526"/>
      <c r="AC1700" s="526"/>
      <c r="AD1700" s="526">
        <v>-1989243</v>
      </c>
      <c r="AE1700" s="526">
        <v>-13649871</v>
      </c>
      <c r="AF1700" s="526"/>
      <c r="AG1700" s="217">
        <f t="shared" ref="AG1700" si="1971">SUM(AB1700:AF1700)</f>
        <v>-15639114</v>
      </c>
      <c r="AH1700" s="217">
        <f t="shared" ref="AH1700" si="1972">AG1700+AA1700</f>
        <v>48615156</v>
      </c>
      <c r="AI1700" s="217">
        <v>36569190</v>
      </c>
      <c r="AJ1700" s="764">
        <f>AI1700/AH1700*100</f>
        <v>75.221788859424819</v>
      </c>
    </row>
    <row r="1701" spans="1:36" ht="14">
      <c r="A1701" s="40"/>
      <c r="B1701" s="40"/>
      <c r="C1701" s="124"/>
      <c r="D1701" s="124"/>
      <c r="E1701" s="124"/>
      <c r="F1701" s="41"/>
      <c r="G1701" s="41"/>
      <c r="H1701" s="63"/>
      <c r="I1701" s="41"/>
      <c r="J1701" s="549"/>
      <c r="K1701" s="549"/>
      <c r="L1701" s="550"/>
      <c r="M1701" s="550"/>
      <c r="N1701" s="550"/>
      <c r="O1701" s="550"/>
      <c r="P1701" s="550"/>
      <c r="Q1701" s="550"/>
      <c r="R1701" s="550"/>
      <c r="S1701" s="550"/>
      <c r="T1701" s="550"/>
      <c r="U1701" s="550"/>
      <c r="V1701" s="550"/>
      <c r="W1701" s="550"/>
      <c r="X1701" s="550"/>
      <c r="Y1701" s="550"/>
      <c r="Z1701" s="550"/>
      <c r="AA1701" s="550"/>
      <c r="AB1701" s="550"/>
      <c r="AC1701" s="550"/>
      <c r="AD1701" s="550"/>
      <c r="AE1701" s="550"/>
      <c r="AF1701" s="550"/>
      <c r="AG1701" s="550"/>
      <c r="AH1701" s="550"/>
      <c r="AI1701" s="550"/>
      <c r="AJ1701" s="783"/>
    </row>
    <row r="1702" spans="1:36" ht="14">
      <c r="A1702" s="40"/>
      <c r="B1702" s="40"/>
      <c r="C1702" s="124"/>
      <c r="D1702" s="124"/>
      <c r="E1702" s="124"/>
      <c r="F1702" s="64"/>
      <c r="G1702" s="64"/>
      <c r="H1702" s="65"/>
      <c r="I1702" s="64" t="s">
        <v>38</v>
      </c>
      <c r="J1702" s="548">
        <f>SUM(J1698:J1701)</f>
        <v>3128518</v>
      </c>
      <c r="K1702" s="457">
        <f>SUM(K1698:K1701)</f>
        <v>64254270</v>
      </c>
      <c r="L1702" s="458">
        <f>SUM(L1698:L1701)</f>
        <v>67382788</v>
      </c>
      <c r="M1702" s="458">
        <f t="shared" ref="M1702:T1702" si="1973">SUM(M1698:M1701)</f>
        <v>0</v>
      </c>
      <c r="N1702" s="458">
        <f t="shared" si="1973"/>
        <v>0</v>
      </c>
      <c r="O1702" s="458">
        <f t="shared" si="1973"/>
        <v>0</v>
      </c>
      <c r="P1702" s="458">
        <f t="shared" si="1973"/>
        <v>0</v>
      </c>
      <c r="Q1702" s="458">
        <f t="shared" si="1973"/>
        <v>0</v>
      </c>
      <c r="R1702" s="458">
        <f t="shared" si="1973"/>
        <v>0</v>
      </c>
      <c r="S1702" s="458">
        <f t="shared" si="1973"/>
        <v>0</v>
      </c>
      <c r="T1702" s="458">
        <f t="shared" si="1973"/>
        <v>67382788</v>
      </c>
      <c r="U1702" s="458"/>
      <c r="V1702" s="458"/>
      <c r="W1702" s="458"/>
      <c r="X1702" s="458"/>
      <c r="Y1702" s="458"/>
      <c r="Z1702" s="458">
        <f t="shared" ref="Z1702:AA1702" si="1974">SUM(Z1698:Z1701)</f>
        <v>0</v>
      </c>
      <c r="AA1702" s="458">
        <f t="shared" si="1974"/>
        <v>67382788</v>
      </c>
      <c r="AB1702" s="458"/>
      <c r="AC1702" s="458"/>
      <c r="AD1702" s="458">
        <f t="shared" ref="AD1702:AE1702" si="1975">SUM(AD1698:AD1701)</f>
        <v>-1989243</v>
      </c>
      <c r="AE1702" s="458">
        <f t="shared" si="1975"/>
        <v>-9699000</v>
      </c>
      <c r="AF1702" s="458"/>
      <c r="AG1702" s="458">
        <f t="shared" ref="AG1702:AI1702" si="1976">SUM(AG1698:AG1701)</f>
        <v>-11688243</v>
      </c>
      <c r="AH1702" s="458">
        <f t="shared" si="1976"/>
        <v>55694545</v>
      </c>
      <c r="AI1702" s="458">
        <f t="shared" si="1976"/>
        <v>38837362</v>
      </c>
      <c r="AJ1702" s="770">
        <f>AI1702/AH1702*100</f>
        <v>69.732793400143592</v>
      </c>
    </row>
    <row r="1703" spans="1:36" ht="16" customHeight="1">
      <c r="A1703" s="40"/>
      <c r="B1703" s="40"/>
      <c r="C1703" s="124"/>
      <c r="D1703" s="124"/>
      <c r="E1703" s="124"/>
      <c r="F1703" s="41"/>
      <c r="G1703" s="41"/>
      <c r="H1703" s="63"/>
      <c r="I1703" s="41"/>
      <c r="J1703" s="551"/>
      <c r="K1703" s="551"/>
      <c r="L1703" s="552"/>
      <c r="M1703" s="552"/>
      <c r="N1703" s="552"/>
      <c r="O1703" s="552"/>
      <c r="P1703" s="552"/>
      <c r="Q1703" s="552"/>
      <c r="R1703" s="552"/>
      <c r="S1703" s="552"/>
      <c r="T1703" s="552"/>
      <c r="U1703" s="552"/>
      <c r="V1703" s="552"/>
      <c r="W1703" s="552"/>
      <c r="X1703" s="552"/>
      <c r="Y1703" s="552"/>
      <c r="Z1703" s="552"/>
      <c r="AA1703" s="552"/>
      <c r="AB1703" s="552"/>
      <c r="AC1703" s="552"/>
      <c r="AD1703" s="552"/>
      <c r="AE1703" s="552"/>
      <c r="AF1703" s="552"/>
      <c r="AG1703" s="552"/>
      <c r="AH1703" s="552"/>
      <c r="AI1703" s="552"/>
      <c r="AJ1703" s="784"/>
    </row>
    <row r="1704" spans="1:36" ht="16" customHeight="1">
      <c r="A1704" s="40"/>
      <c r="B1704" s="40">
        <v>14</v>
      </c>
      <c r="C1704" s="124"/>
      <c r="D1704" s="124"/>
      <c r="E1704" s="124"/>
      <c r="F1704" s="41"/>
      <c r="G1704" s="935" t="s">
        <v>408</v>
      </c>
      <c r="H1704" s="935"/>
      <c r="I1704" s="935"/>
      <c r="J1704" s="544"/>
      <c r="K1704" s="542"/>
      <c r="L1704" s="205"/>
      <c r="M1704" s="205"/>
      <c r="N1704" s="205"/>
      <c r="O1704" s="205"/>
      <c r="P1704" s="205"/>
      <c r="Q1704" s="205"/>
      <c r="R1704" s="205"/>
      <c r="S1704" s="205"/>
      <c r="T1704" s="205"/>
      <c r="U1704" s="205"/>
      <c r="V1704" s="205"/>
      <c r="W1704" s="205"/>
      <c r="X1704" s="205"/>
      <c r="Y1704" s="205"/>
      <c r="Z1704" s="205"/>
      <c r="AA1704" s="205"/>
      <c r="AB1704" s="205"/>
      <c r="AC1704" s="205"/>
      <c r="AD1704" s="205"/>
      <c r="AE1704" s="205"/>
      <c r="AF1704" s="205"/>
      <c r="AG1704" s="205"/>
      <c r="AH1704" s="205"/>
      <c r="AI1704" s="205"/>
      <c r="AJ1704" s="747"/>
    </row>
    <row r="1705" spans="1:36" ht="16" customHeight="1">
      <c r="A1705" s="40"/>
      <c r="B1705" s="40"/>
      <c r="C1705" s="124">
        <v>1</v>
      </c>
      <c r="D1705" s="124"/>
      <c r="E1705" s="124"/>
      <c r="F1705" s="41"/>
      <c r="G1705" s="41"/>
      <c r="H1705" s="163" t="s">
        <v>35</v>
      </c>
      <c r="I1705" s="66"/>
      <c r="J1705" s="547"/>
      <c r="K1705" s="453"/>
      <c r="L1705" s="526"/>
      <c r="M1705" s="526"/>
      <c r="N1705" s="526"/>
      <c r="O1705" s="526"/>
      <c r="P1705" s="526"/>
      <c r="Q1705" s="526"/>
      <c r="R1705" s="526"/>
      <c r="S1705" s="526"/>
      <c r="T1705" s="526"/>
      <c r="U1705" s="526"/>
      <c r="V1705" s="526"/>
      <c r="W1705" s="526"/>
      <c r="X1705" s="526"/>
      <c r="Y1705" s="526"/>
      <c r="Z1705" s="526"/>
      <c r="AA1705" s="526"/>
      <c r="AB1705" s="526"/>
      <c r="AC1705" s="526"/>
      <c r="AD1705" s="526"/>
      <c r="AE1705" s="526"/>
      <c r="AF1705" s="526"/>
      <c r="AG1705" s="526"/>
      <c r="AH1705" s="526"/>
      <c r="AI1705" s="526"/>
      <c r="AJ1705" s="779"/>
    </row>
    <row r="1706" spans="1:36" ht="16" customHeight="1">
      <c r="A1706" s="40"/>
      <c r="B1706" s="40"/>
      <c r="C1706" s="124"/>
      <c r="D1706" s="124">
        <v>3</v>
      </c>
      <c r="E1706" s="124" t="s">
        <v>199</v>
      </c>
      <c r="F1706" s="41"/>
      <c r="G1706" s="41"/>
      <c r="H1706" s="162"/>
      <c r="I1706" s="125" t="s">
        <v>116</v>
      </c>
      <c r="J1706" s="547">
        <v>32381750</v>
      </c>
      <c r="K1706" s="453"/>
      <c r="L1706" s="526">
        <f>SUM(J1706:K1706)</f>
        <v>32381750</v>
      </c>
      <c r="M1706" s="526"/>
      <c r="N1706" s="526"/>
      <c r="O1706" s="526"/>
      <c r="P1706" s="526"/>
      <c r="Q1706" s="526"/>
      <c r="R1706" s="526"/>
      <c r="S1706" s="217">
        <f t="shared" ref="S1706:S1708" si="1977">SUM(M1706:R1706)</f>
        <v>0</v>
      </c>
      <c r="T1706" s="217">
        <f t="shared" ref="T1706:T1708" si="1978">S1706+L1706</f>
        <v>32381750</v>
      </c>
      <c r="U1706" s="526"/>
      <c r="V1706" s="526"/>
      <c r="W1706" s="526"/>
      <c r="X1706" s="526"/>
      <c r="Y1706" s="526"/>
      <c r="Z1706" s="217">
        <f>SUM(U1706:Y1706)</f>
        <v>0</v>
      </c>
      <c r="AA1706" s="217">
        <f>Z1706+T1706</f>
        <v>32381750</v>
      </c>
      <c r="AB1706" s="526"/>
      <c r="AC1706" s="526"/>
      <c r="AD1706" s="526"/>
      <c r="AE1706" s="526"/>
      <c r="AF1706" s="526"/>
      <c r="AG1706" s="217">
        <f t="shared" ref="AG1706" si="1979">SUM(AB1706:AF1706)</f>
        <v>0</v>
      </c>
      <c r="AH1706" s="217">
        <f t="shared" ref="AH1706" si="1980">AG1706+AA1706</f>
        <v>32381750</v>
      </c>
      <c r="AI1706" s="217">
        <v>17303000</v>
      </c>
      <c r="AJ1706" s="764">
        <f>AI1706/AH1706*100</f>
        <v>53.4344190786477</v>
      </c>
    </row>
    <row r="1707" spans="1:36" ht="16" customHeight="1">
      <c r="A1707" s="40"/>
      <c r="B1707" s="40"/>
      <c r="C1707" s="124">
        <v>2</v>
      </c>
      <c r="D1707" s="124"/>
      <c r="E1707" s="124"/>
      <c r="F1707" s="41"/>
      <c r="G1707" s="41"/>
      <c r="H1707" s="66" t="s">
        <v>211</v>
      </c>
      <c r="I1707" s="125"/>
      <c r="J1707" s="547"/>
      <c r="K1707" s="525"/>
      <c r="L1707" s="526"/>
      <c r="M1707" s="526"/>
      <c r="N1707" s="526"/>
      <c r="O1707" s="526"/>
      <c r="P1707" s="526"/>
      <c r="Q1707" s="526"/>
      <c r="R1707" s="526"/>
      <c r="S1707" s="217"/>
      <c r="T1707" s="217"/>
      <c r="U1707" s="526"/>
      <c r="V1707" s="526"/>
      <c r="W1707" s="526"/>
      <c r="X1707" s="526"/>
      <c r="Y1707" s="526"/>
      <c r="Z1707" s="217"/>
      <c r="AA1707" s="217"/>
      <c r="AB1707" s="526"/>
      <c r="AC1707" s="526"/>
      <c r="AD1707" s="526"/>
      <c r="AE1707" s="526"/>
      <c r="AF1707" s="526"/>
      <c r="AG1707" s="217"/>
      <c r="AH1707" s="217"/>
      <c r="AI1707" s="217"/>
      <c r="AJ1707" s="764"/>
    </row>
    <row r="1708" spans="1:36" ht="16" customHeight="1">
      <c r="A1708" s="40"/>
      <c r="B1708" s="40"/>
      <c r="C1708" s="124"/>
      <c r="D1708" s="124">
        <v>6</v>
      </c>
      <c r="E1708" s="124" t="s">
        <v>199</v>
      </c>
      <c r="F1708" s="41"/>
      <c r="G1708" s="41"/>
      <c r="H1708" s="125"/>
      <c r="I1708" s="66" t="s">
        <v>213</v>
      </c>
      <c r="J1708" s="547"/>
      <c r="K1708" s="525">
        <v>1262344682</v>
      </c>
      <c r="L1708" s="526">
        <f>SUM(J1708:K1708)</f>
        <v>1262344682</v>
      </c>
      <c r="M1708" s="526"/>
      <c r="N1708" s="526"/>
      <c r="O1708" s="526"/>
      <c r="P1708" s="526"/>
      <c r="Q1708" s="526"/>
      <c r="R1708" s="526"/>
      <c r="S1708" s="217">
        <f t="shared" si="1977"/>
        <v>0</v>
      </c>
      <c r="T1708" s="217">
        <f t="shared" si="1978"/>
        <v>1262344682</v>
      </c>
      <c r="U1708" s="526"/>
      <c r="V1708" s="526"/>
      <c r="W1708" s="526"/>
      <c r="X1708" s="526"/>
      <c r="Y1708" s="526"/>
      <c r="Z1708" s="217">
        <f>SUM(U1708:Y1708)</f>
        <v>0</v>
      </c>
      <c r="AA1708" s="217">
        <f>Z1708+T1708</f>
        <v>1262344682</v>
      </c>
      <c r="AB1708" s="526"/>
      <c r="AC1708" s="526"/>
      <c r="AD1708" s="526">
        <v>-19050000</v>
      </c>
      <c r="AE1708" s="526"/>
      <c r="AF1708" s="526"/>
      <c r="AG1708" s="217">
        <f t="shared" ref="AG1708" si="1981">SUM(AB1708:AF1708)</f>
        <v>-19050000</v>
      </c>
      <c r="AH1708" s="217">
        <f t="shared" ref="AH1708" si="1982">AG1708+AA1708</f>
        <v>1243294682</v>
      </c>
      <c r="AI1708" s="217">
        <v>27126206</v>
      </c>
      <c r="AJ1708" s="764">
        <f>AI1708/AH1708*100</f>
        <v>2.1818002113838366</v>
      </c>
    </row>
    <row r="1709" spans="1:36" ht="16" customHeight="1">
      <c r="A1709" s="40"/>
      <c r="B1709" s="40"/>
      <c r="C1709" s="124"/>
      <c r="D1709" s="124"/>
      <c r="E1709" s="124"/>
      <c r="F1709" s="41"/>
      <c r="G1709" s="41"/>
      <c r="H1709" s="63"/>
      <c r="I1709" s="41"/>
      <c r="J1709" s="549"/>
      <c r="K1709" s="549"/>
      <c r="L1709" s="550"/>
      <c r="M1709" s="550"/>
      <c r="N1709" s="550"/>
      <c r="O1709" s="550"/>
      <c r="P1709" s="550"/>
      <c r="Q1709" s="550"/>
      <c r="R1709" s="550"/>
      <c r="S1709" s="550"/>
      <c r="T1709" s="550"/>
      <c r="U1709" s="550"/>
      <c r="V1709" s="550"/>
      <c r="W1709" s="550"/>
      <c r="X1709" s="550"/>
      <c r="Y1709" s="550"/>
      <c r="Z1709" s="550"/>
      <c r="AA1709" s="550"/>
      <c r="AB1709" s="550"/>
      <c r="AC1709" s="550"/>
      <c r="AD1709" s="550"/>
      <c r="AE1709" s="550"/>
      <c r="AF1709" s="550"/>
      <c r="AG1709" s="550"/>
      <c r="AH1709" s="550"/>
      <c r="AI1709" s="550"/>
      <c r="AJ1709" s="783"/>
    </row>
    <row r="1710" spans="1:36" ht="16" customHeight="1">
      <c r="A1710" s="40"/>
      <c r="B1710" s="40"/>
      <c r="C1710" s="124"/>
      <c r="D1710" s="124"/>
      <c r="E1710" s="124"/>
      <c r="F1710" s="64"/>
      <c r="G1710" s="64"/>
      <c r="H1710" s="65"/>
      <c r="I1710" s="64" t="s">
        <v>38</v>
      </c>
      <c r="J1710" s="548">
        <f>SUM(J1706:J1709)</f>
        <v>32381750</v>
      </c>
      <c r="K1710" s="457">
        <f>SUM(K1706:K1709)</f>
        <v>1262344682</v>
      </c>
      <c r="L1710" s="458">
        <f>SUM(L1706:L1709)</f>
        <v>1294726432</v>
      </c>
      <c r="M1710" s="458">
        <f t="shared" ref="M1710:T1710" si="1983">SUM(M1706:M1709)</f>
        <v>0</v>
      </c>
      <c r="N1710" s="458">
        <f t="shared" si="1983"/>
        <v>0</v>
      </c>
      <c r="O1710" s="458">
        <f t="shared" si="1983"/>
        <v>0</v>
      </c>
      <c r="P1710" s="458">
        <f t="shared" si="1983"/>
        <v>0</v>
      </c>
      <c r="Q1710" s="458">
        <f t="shared" si="1983"/>
        <v>0</v>
      </c>
      <c r="R1710" s="458">
        <f t="shared" si="1983"/>
        <v>0</v>
      </c>
      <c r="S1710" s="458">
        <f t="shared" si="1983"/>
        <v>0</v>
      </c>
      <c r="T1710" s="458">
        <f t="shared" si="1983"/>
        <v>1294726432</v>
      </c>
      <c r="U1710" s="458"/>
      <c r="V1710" s="458"/>
      <c r="W1710" s="458"/>
      <c r="X1710" s="458"/>
      <c r="Y1710" s="458"/>
      <c r="Z1710" s="458">
        <f t="shared" ref="Z1710:AA1710" si="1984">SUM(Z1706:Z1709)</f>
        <v>0</v>
      </c>
      <c r="AA1710" s="458">
        <f t="shared" si="1984"/>
        <v>1294726432</v>
      </c>
      <c r="AB1710" s="458"/>
      <c r="AC1710" s="458"/>
      <c r="AD1710" s="458">
        <f t="shared" ref="AD1710" si="1985">SUM(AD1706:AD1709)</f>
        <v>-19050000</v>
      </c>
      <c r="AE1710" s="458"/>
      <c r="AF1710" s="458"/>
      <c r="AG1710" s="458">
        <f t="shared" ref="AG1710:AI1710" si="1986">SUM(AG1706:AG1709)</f>
        <v>-19050000</v>
      </c>
      <c r="AH1710" s="458">
        <f t="shared" si="1986"/>
        <v>1275676432</v>
      </c>
      <c r="AI1710" s="458">
        <f t="shared" si="1986"/>
        <v>44429206</v>
      </c>
      <c r="AJ1710" s="770">
        <f>AI1710/AH1710*100</f>
        <v>3.482795863081368</v>
      </c>
    </row>
    <row r="1711" spans="1:36" ht="15" customHeight="1">
      <c r="A1711" s="40"/>
      <c r="B1711" s="40"/>
      <c r="C1711" s="124"/>
      <c r="D1711" s="124"/>
      <c r="E1711" s="124"/>
      <c r="F1711" s="41"/>
      <c r="G1711" s="41"/>
      <c r="H1711" s="63"/>
      <c r="I1711" s="41"/>
      <c r="J1711" s="551"/>
      <c r="K1711" s="551"/>
      <c r="L1711" s="552"/>
      <c r="M1711" s="552"/>
      <c r="N1711" s="552"/>
      <c r="O1711" s="552"/>
      <c r="P1711" s="552"/>
      <c r="Q1711" s="552"/>
      <c r="R1711" s="552"/>
      <c r="S1711" s="552"/>
      <c r="T1711" s="552"/>
      <c r="U1711" s="552"/>
      <c r="V1711" s="552"/>
      <c r="W1711" s="552"/>
      <c r="X1711" s="552"/>
      <c r="Y1711" s="552"/>
      <c r="Z1711" s="552"/>
      <c r="AA1711" s="552"/>
      <c r="AB1711" s="552"/>
      <c r="AC1711" s="552"/>
      <c r="AD1711" s="552"/>
      <c r="AE1711" s="552"/>
      <c r="AF1711" s="552"/>
      <c r="AG1711" s="552"/>
      <c r="AH1711" s="552"/>
      <c r="AI1711" s="552"/>
      <c r="AJ1711" s="784"/>
    </row>
    <row r="1712" spans="1:36" ht="15" customHeight="1">
      <c r="A1712" s="40"/>
      <c r="B1712" s="40">
        <v>15</v>
      </c>
      <c r="C1712" s="124"/>
      <c r="D1712" s="124"/>
      <c r="E1712" s="124"/>
      <c r="F1712" s="41"/>
      <c r="G1712" s="935" t="s">
        <v>409</v>
      </c>
      <c r="H1712" s="935"/>
      <c r="I1712" s="935"/>
      <c r="J1712" s="544"/>
      <c r="K1712" s="542"/>
      <c r="L1712" s="205"/>
      <c r="M1712" s="205"/>
      <c r="N1712" s="205"/>
      <c r="O1712" s="205"/>
      <c r="P1712" s="205"/>
      <c r="Q1712" s="205"/>
      <c r="R1712" s="205"/>
      <c r="S1712" s="205"/>
      <c r="T1712" s="205"/>
      <c r="U1712" s="205"/>
      <c r="V1712" s="205"/>
      <c r="W1712" s="205"/>
      <c r="X1712" s="205"/>
      <c r="Y1712" s="205"/>
      <c r="Z1712" s="205"/>
      <c r="AA1712" s="205"/>
      <c r="AB1712" s="205"/>
      <c r="AC1712" s="205"/>
      <c r="AD1712" s="205"/>
      <c r="AE1712" s="205"/>
      <c r="AF1712" s="205"/>
      <c r="AG1712" s="205"/>
      <c r="AH1712" s="205"/>
      <c r="AI1712" s="205"/>
      <c r="AJ1712" s="747"/>
    </row>
    <row r="1713" spans="1:36" ht="15" customHeight="1">
      <c r="A1713" s="40"/>
      <c r="B1713" s="40"/>
      <c r="C1713" s="124">
        <v>1</v>
      </c>
      <c r="D1713" s="124"/>
      <c r="E1713" s="124"/>
      <c r="F1713" s="41"/>
      <c r="G1713" s="41"/>
      <c r="H1713" s="163" t="s">
        <v>35</v>
      </c>
      <c r="I1713" s="66"/>
      <c r="J1713" s="547"/>
      <c r="K1713" s="453"/>
      <c r="L1713" s="526"/>
      <c r="M1713" s="526"/>
      <c r="N1713" s="526"/>
      <c r="O1713" s="526"/>
      <c r="P1713" s="526"/>
      <c r="Q1713" s="526"/>
      <c r="R1713" s="526"/>
      <c r="S1713" s="526"/>
      <c r="T1713" s="526"/>
      <c r="U1713" s="526"/>
      <c r="V1713" s="526"/>
      <c r="W1713" s="526"/>
      <c r="X1713" s="526"/>
      <c r="Y1713" s="526"/>
      <c r="Z1713" s="526"/>
      <c r="AA1713" s="526"/>
      <c r="AB1713" s="526"/>
      <c r="AC1713" s="526"/>
      <c r="AD1713" s="526"/>
      <c r="AE1713" s="526"/>
      <c r="AF1713" s="526"/>
      <c r="AG1713" s="526"/>
      <c r="AH1713" s="526"/>
      <c r="AI1713" s="526"/>
      <c r="AJ1713" s="779"/>
    </row>
    <row r="1714" spans="1:36" ht="15" customHeight="1">
      <c r="A1714" s="40"/>
      <c r="B1714" s="40"/>
      <c r="C1714" s="124"/>
      <c r="D1714" s="124">
        <v>3</v>
      </c>
      <c r="E1714" s="124" t="s">
        <v>199</v>
      </c>
      <c r="F1714" s="41"/>
      <c r="G1714" s="41"/>
      <c r="H1714" s="162"/>
      <c r="I1714" s="125" t="s">
        <v>116</v>
      </c>
      <c r="J1714" s="547">
        <v>7814645</v>
      </c>
      <c r="K1714" s="453"/>
      <c r="L1714" s="526">
        <f>SUM(J1714:K1714)</f>
        <v>7814645</v>
      </c>
      <c r="M1714" s="526"/>
      <c r="N1714" s="526"/>
      <c r="O1714" s="526"/>
      <c r="P1714" s="526"/>
      <c r="Q1714" s="526"/>
      <c r="R1714" s="526"/>
      <c r="S1714" s="217">
        <f t="shared" ref="S1714:S1716" si="1987">SUM(M1714:R1714)</f>
        <v>0</v>
      </c>
      <c r="T1714" s="217">
        <f t="shared" ref="T1714:T1716" si="1988">S1714+L1714</f>
        <v>7814645</v>
      </c>
      <c r="U1714" s="526"/>
      <c r="V1714" s="526"/>
      <c r="W1714" s="526"/>
      <c r="X1714" s="526"/>
      <c r="Y1714" s="526"/>
      <c r="Z1714" s="217">
        <f>SUM(U1714:Y1714)</f>
        <v>0</v>
      </c>
      <c r="AA1714" s="217">
        <f>Z1714+T1714</f>
        <v>7814645</v>
      </c>
      <c r="AB1714" s="526"/>
      <c r="AC1714" s="526"/>
      <c r="AD1714" s="526">
        <v>-71220</v>
      </c>
      <c r="AE1714" s="526">
        <v>21873890</v>
      </c>
      <c r="AF1714" s="526"/>
      <c r="AG1714" s="217">
        <f t="shared" ref="AG1714" si="1989">SUM(AB1714:AF1714)</f>
        <v>21802670</v>
      </c>
      <c r="AH1714" s="217">
        <f t="shared" ref="AH1714" si="1990">AG1714+AA1714</f>
        <v>29617315</v>
      </c>
      <c r="AI1714" s="217">
        <v>5893397</v>
      </c>
      <c r="AJ1714" s="764">
        <f>AI1714/AH1714*100</f>
        <v>19.898485058486905</v>
      </c>
    </row>
    <row r="1715" spans="1:36" ht="15" customHeight="1">
      <c r="A1715" s="40"/>
      <c r="B1715" s="40"/>
      <c r="C1715" s="124">
        <v>2</v>
      </c>
      <c r="D1715" s="124"/>
      <c r="E1715" s="124"/>
      <c r="F1715" s="41"/>
      <c r="G1715" s="41"/>
      <c r="H1715" s="66" t="s">
        <v>211</v>
      </c>
      <c r="I1715" s="125"/>
      <c r="J1715" s="547"/>
      <c r="K1715" s="525"/>
      <c r="L1715" s="526"/>
      <c r="M1715" s="526"/>
      <c r="N1715" s="526"/>
      <c r="O1715" s="526"/>
      <c r="P1715" s="526"/>
      <c r="Q1715" s="526"/>
      <c r="R1715" s="526"/>
      <c r="S1715" s="217"/>
      <c r="T1715" s="217"/>
      <c r="U1715" s="526"/>
      <c r="V1715" s="526"/>
      <c r="W1715" s="526"/>
      <c r="X1715" s="526"/>
      <c r="Y1715" s="526"/>
      <c r="Z1715" s="217"/>
      <c r="AA1715" s="217"/>
      <c r="AB1715" s="526"/>
      <c r="AC1715" s="526"/>
      <c r="AD1715" s="526"/>
      <c r="AE1715" s="526"/>
      <c r="AF1715" s="526"/>
      <c r="AG1715" s="217"/>
      <c r="AH1715" s="217"/>
      <c r="AI1715" s="217"/>
      <c r="AJ1715" s="764"/>
    </row>
    <row r="1716" spans="1:36" ht="15" customHeight="1">
      <c r="A1716" s="40"/>
      <c r="B1716" s="40"/>
      <c r="C1716" s="124"/>
      <c r="D1716" s="124">
        <v>6</v>
      </c>
      <c r="E1716" s="124" t="s">
        <v>199</v>
      </c>
      <c r="F1716" s="41"/>
      <c r="G1716" s="41"/>
      <c r="H1716" s="125"/>
      <c r="I1716" s="66" t="s">
        <v>213</v>
      </c>
      <c r="J1716" s="547"/>
      <c r="K1716" s="525">
        <v>241181237</v>
      </c>
      <c r="L1716" s="526">
        <f>SUM(J1716:K1716)</f>
        <v>241181237</v>
      </c>
      <c r="M1716" s="526"/>
      <c r="N1716" s="526"/>
      <c r="O1716" s="526"/>
      <c r="P1716" s="526"/>
      <c r="Q1716" s="526"/>
      <c r="R1716" s="526"/>
      <c r="S1716" s="217">
        <f t="shared" si="1987"/>
        <v>0</v>
      </c>
      <c r="T1716" s="217">
        <f t="shared" si="1988"/>
        <v>241181237</v>
      </c>
      <c r="U1716" s="526"/>
      <c r="V1716" s="526"/>
      <c r="W1716" s="526"/>
      <c r="X1716" s="526">
        <v>22223271</v>
      </c>
      <c r="Y1716" s="526"/>
      <c r="Z1716" s="217">
        <f>SUM(U1716:Y1716)</f>
        <v>22223271</v>
      </c>
      <c r="AA1716" s="217">
        <f>Z1716+T1716</f>
        <v>263404508</v>
      </c>
      <c r="AB1716" s="526"/>
      <c r="AC1716" s="526"/>
      <c r="AD1716" s="526">
        <v>-13709106</v>
      </c>
      <c r="AE1716" s="526">
        <v>-14651903</v>
      </c>
      <c r="AF1716" s="526"/>
      <c r="AG1716" s="217">
        <f t="shared" ref="AG1716" si="1991">SUM(AB1716:AF1716)</f>
        <v>-28361009</v>
      </c>
      <c r="AH1716" s="217">
        <f t="shared" ref="AH1716" si="1992">AG1716+AA1716</f>
        <v>235043499</v>
      </c>
      <c r="AI1716" s="217">
        <v>29751091</v>
      </c>
      <c r="AJ1716" s="764">
        <f>AI1716/AH1716*100</f>
        <v>12.657695756988369</v>
      </c>
    </row>
    <row r="1717" spans="1:36" ht="15" customHeight="1">
      <c r="A1717" s="40"/>
      <c r="B1717" s="40"/>
      <c r="C1717" s="124"/>
      <c r="D1717" s="124"/>
      <c r="E1717" s="124"/>
      <c r="F1717" s="41"/>
      <c r="G1717" s="41"/>
      <c r="H1717" s="63"/>
      <c r="I1717" s="41"/>
      <c r="J1717" s="549"/>
      <c r="K1717" s="549"/>
      <c r="L1717" s="550"/>
      <c r="M1717" s="550"/>
      <c r="N1717" s="550"/>
      <c r="O1717" s="550"/>
      <c r="P1717" s="550"/>
      <c r="Q1717" s="550"/>
      <c r="R1717" s="550"/>
      <c r="S1717" s="550"/>
      <c r="T1717" s="550"/>
      <c r="U1717" s="550"/>
      <c r="V1717" s="550"/>
      <c r="W1717" s="550"/>
      <c r="X1717" s="550"/>
      <c r="Y1717" s="550"/>
      <c r="Z1717" s="550"/>
      <c r="AA1717" s="550"/>
      <c r="AB1717" s="550"/>
      <c r="AC1717" s="550"/>
      <c r="AD1717" s="550"/>
      <c r="AE1717" s="550"/>
      <c r="AF1717" s="550"/>
      <c r="AG1717" s="550"/>
      <c r="AH1717" s="550"/>
      <c r="AI1717" s="550"/>
      <c r="AJ1717" s="783"/>
    </row>
    <row r="1718" spans="1:36" ht="15" customHeight="1">
      <c r="A1718" s="40"/>
      <c r="B1718" s="40"/>
      <c r="C1718" s="124"/>
      <c r="D1718" s="124"/>
      <c r="E1718" s="124"/>
      <c r="F1718" s="64"/>
      <c r="G1718" s="64"/>
      <c r="H1718" s="65"/>
      <c r="I1718" s="64" t="s">
        <v>38</v>
      </c>
      <c r="J1718" s="548">
        <f>SUM(J1714:J1717)</f>
        <v>7814645</v>
      </c>
      <c r="K1718" s="457">
        <f>SUM(K1714:K1717)</f>
        <v>241181237</v>
      </c>
      <c r="L1718" s="458">
        <f>SUM(L1714:L1717)</f>
        <v>248995882</v>
      </c>
      <c r="M1718" s="458">
        <f t="shared" ref="M1718:T1718" si="1993">SUM(M1714:M1717)</f>
        <v>0</v>
      </c>
      <c r="N1718" s="458">
        <f t="shared" si="1993"/>
        <v>0</v>
      </c>
      <c r="O1718" s="458">
        <f t="shared" si="1993"/>
        <v>0</v>
      </c>
      <c r="P1718" s="458">
        <f t="shared" si="1993"/>
        <v>0</v>
      </c>
      <c r="Q1718" s="458">
        <f t="shared" si="1993"/>
        <v>0</v>
      </c>
      <c r="R1718" s="458">
        <f t="shared" si="1993"/>
        <v>0</v>
      </c>
      <c r="S1718" s="458">
        <f t="shared" si="1993"/>
        <v>0</v>
      </c>
      <c r="T1718" s="458">
        <f t="shared" si="1993"/>
        <v>248995882</v>
      </c>
      <c r="U1718" s="458"/>
      <c r="V1718" s="458"/>
      <c r="W1718" s="458"/>
      <c r="X1718" s="458">
        <f t="shared" ref="X1718:AA1718" si="1994">SUM(X1714:X1717)</f>
        <v>22223271</v>
      </c>
      <c r="Y1718" s="458"/>
      <c r="Z1718" s="458">
        <f t="shared" si="1994"/>
        <v>22223271</v>
      </c>
      <c r="AA1718" s="458">
        <f t="shared" si="1994"/>
        <v>271219153</v>
      </c>
      <c r="AB1718" s="458"/>
      <c r="AC1718" s="458"/>
      <c r="AD1718" s="458">
        <f t="shared" ref="AD1718:AE1718" si="1995">SUM(AD1714:AD1717)</f>
        <v>-13780326</v>
      </c>
      <c r="AE1718" s="458">
        <f t="shared" si="1995"/>
        <v>7221987</v>
      </c>
      <c r="AF1718" s="458"/>
      <c r="AG1718" s="458">
        <f t="shared" ref="AG1718:AI1718" si="1996">SUM(AG1714:AG1717)</f>
        <v>-6558339</v>
      </c>
      <c r="AH1718" s="458">
        <f t="shared" si="1996"/>
        <v>264660814</v>
      </c>
      <c r="AI1718" s="458">
        <f t="shared" si="1996"/>
        <v>35644488</v>
      </c>
      <c r="AJ1718" s="770">
        <f>AI1718/AH1718*100</f>
        <v>13.467988502446001</v>
      </c>
    </row>
    <row r="1719" spans="1:36" ht="17" customHeight="1">
      <c r="A1719" s="40"/>
      <c r="B1719" s="40"/>
      <c r="C1719" s="124"/>
      <c r="D1719" s="124"/>
      <c r="E1719" s="124"/>
      <c r="F1719" s="41"/>
      <c r="G1719" s="41"/>
      <c r="H1719" s="63"/>
      <c r="I1719" s="41"/>
      <c r="J1719" s="551"/>
      <c r="K1719" s="551"/>
      <c r="L1719" s="552"/>
      <c r="M1719" s="552"/>
      <c r="N1719" s="552"/>
      <c r="O1719" s="552"/>
      <c r="P1719" s="552"/>
      <c r="Q1719" s="552"/>
      <c r="R1719" s="552"/>
      <c r="S1719" s="552"/>
      <c r="T1719" s="552"/>
      <c r="U1719" s="552"/>
      <c r="V1719" s="552"/>
      <c r="W1719" s="552"/>
      <c r="X1719" s="552"/>
      <c r="Y1719" s="552"/>
      <c r="Z1719" s="552"/>
      <c r="AA1719" s="552"/>
      <c r="AB1719" s="552"/>
      <c r="AC1719" s="552"/>
      <c r="AD1719" s="552"/>
      <c r="AE1719" s="552"/>
      <c r="AF1719" s="552"/>
      <c r="AG1719" s="552"/>
      <c r="AH1719" s="552"/>
      <c r="AI1719" s="552"/>
      <c r="AJ1719" s="784"/>
    </row>
    <row r="1720" spans="1:36" ht="28" customHeight="1">
      <c r="A1720" s="40"/>
      <c r="B1720" s="40">
        <v>16</v>
      </c>
      <c r="C1720" s="124"/>
      <c r="D1720" s="124"/>
      <c r="E1720" s="124"/>
      <c r="F1720" s="41"/>
      <c r="G1720" s="935" t="s">
        <v>410</v>
      </c>
      <c r="H1720" s="935"/>
      <c r="I1720" s="935"/>
      <c r="J1720" s="544"/>
      <c r="K1720" s="542"/>
      <c r="L1720" s="205"/>
      <c r="M1720" s="205"/>
      <c r="N1720" s="205"/>
      <c r="O1720" s="205"/>
      <c r="P1720" s="205"/>
      <c r="Q1720" s="205"/>
      <c r="R1720" s="205"/>
      <c r="S1720" s="205"/>
      <c r="T1720" s="205"/>
      <c r="U1720" s="205"/>
      <c r="V1720" s="205"/>
      <c r="W1720" s="205"/>
      <c r="X1720" s="205"/>
      <c r="Y1720" s="205"/>
      <c r="Z1720" s="205"/>
      <c r="AA1720" s="205"/>
      <c r="AB1720" s="205"/>
      <c r="AC1720" s="205"/>
      <c r="AD1720" s="205"/>
      <c r="AE1720" s="205"/>
      <c r="AF1720" s="205"/>
      <c r="AG1720" s="205"/>
      <c r="AH1720" s="205"/>
      <c r="AI1720" s="205"/>
      <c r="AJ1720" s="747"/>
    </row>
    <row r="1721" spans="1:36" ht="14">
      <c r="A1721" s="40"/>
      <c r="B1721" s="40"/>
      <c r="C1721" s="124">
        <v>1</v>
      </c>
      <c r="D1721" s="124"/>
      <c r="E1721" s="124"/>
      <c r="F1721" s="41"/>
      <c r="G1721" s="41"/>
      <c r="H1721" s="163" t="s">
        <v>35</v>
      </c>
      <c r="I1721" s="66"/>
      <c r="J1721" s="547"/>
      <c r="K1721" s="453"/>
      <c r="L1721" s="526"/>
      <c r="M1721" s="526"/>
      <c r="N1721" s="526"/>
      <c r="O1721" s="526"/>
      <c r="P1721" s="526"/>
      <c r="Q1721" s="526"/>
      <c r="R1721" s="526"/>
      <c r="S1721" s="526"/>
      <c r="T1721" s="526"/>
      <c r="U1721" s="526"/>
      <c r="V1721" s="526"/>
      <c r="W1721" s="526"/>
      <c r="X1721" s="526"/>
      <c r="Y1721" s="526"/>
      <c r="Z1721" s="526"/>
      <c r="AA1721" s="526"/>
      <c r="AB1721" s="526"/>
      <c r="AC1721" s="526"/>
      <c r="AD1721" s="526"/>
      <c r="AE1721" s="526"/>
      <c r="AF1721" s="526"/>
      <c r="AG1721" s="526"/>
      <c r="AH1721" s="526"/>
      <c r="AI1721" s="526"/>
      <c r="AJ1721" s="779"/>
    </row>
    <row r="1722" spans="1:36" ht="14">
      <c r="A1722" s="40"/>
      <c r="B1722" s="40"/>
      <c r="C1722" s="124"/>
      <c r="D1722" s="124">
        <v>3</v>
      </c>
      <c r="E1722" s="124" t="s">
        <v>199</v>
      </c>
      <c r="F1722" s="41"/>
      <c r="G1722" s="41"/>
      <c r="H1722" s="162"/>
      <c r="I1722" s="125" t="s">
        <v>116</v>
      </c>
      <c r="J1722" s="547">
        <v>3347264</v>
      </c>
      <c r="K1722" s="453"/>
      <c r="L1722" s="526">
        <f>SUM(J1722:K1722)</f>
        <v>3347264</v>
      </c>
      <c r="M1722" s="526"/>
      <c r="N1722" s="526"/>
      <c r="O1722" s="526"/>
      <c r="P1722" s="526"/>
      <c r="Q1722" s="526">
        <v>245937</v>
      </c>
      <c r="R1722" s="526"/>
      <c r="S1722" s="217">
        <f t="shared" ref="S1722:S1726" si="1997">SUM(M1722:R1722)</f>
        <v>245937</v>
      </c>
      <c r="T1722" s="217">
        <f t="shared" ref="T1722:T1726" si="1998">S1722+L1722</f>
        <v>3593201</v>
      </c>
      <c r="U1722" s="526"/>
      <c r="V1722" s="526"/>
      <c r="W1722" s="526"/>
      <c r="X1722" s="526"/>
      <c r="Y1722" s="526"/>
      <c r="Z1722" s="217">
        <f>SUM(U1722:Y1722)</f>
        <v>0</v>
      </c>
      <c r="AA1722" s="217">
        <f>Z1722+T1722</f>
        <v>3593201</v>
      </c>
      <c r="AB1722" s="526"/>
      <c r="AC1722" s="526"/>
      <c r="AD1722" s="526">
        <v>-88228</v>
      </c>
      <c r="AE1722" s="526">
        <v>21841350</v>
      </c>
      <c r="AF1722" s="526"/>
      <c r="AG1722" s="217">
        <f t="shared" ref="AG1722:AG1723" si="1999">SUM(AB1722:AF1722)</f>
        <v>21753122</v>
      </c>
      <c r="AH1722" s="217">
        <f t="shared" ref="AH1722:AH1723" si="2000">AG1722+AA1722</f>
        <v>25346323</v>
      </c>
      <c r="AI1722" s="217">
        <v>3339973</v>
      </c>
      <c r="AJ1722" s="764">
        <f>AI1722/AH1722*100</f>
        <v>13.177347262559543</v>
      </c>
    </row>
    <row r="1723" spans="1:36" ht="14">
      <c r="A1723" s="160"/>
      <c r="B1723" s="160"/>
      <c r="C1723" s="161"/>
      <c r="D1723" s="161">
        <v>5</v>
      </c>
      <c r="E1723" s="161" t="s">
        <v>199</v>
      </c>
      <c r="F1723" s="41"/>
      <c r="G1723" s="41"/>
      <c r="H1723" s="162"/>
      <c r="I1723" s="125" t="s">
        <v>185</v>
      </c>
      <c r="J1723" s="547"/>
      <c r="K1723" s="553"/>
      <c r="L1723" s="524"/>
      <c r="M1723" s="524"/>
      <c r="N1723" s="524"/>
      <c r="O1723" s="524"/>
      <c r="P1723" s="524"/>
      <c r="Q1723" s="524">
        <v>515244</v>
      </c>
      <c r="R1723" s="524"/>
      <c r="S1723" s="217">
        <f t="shared" ref="S1723" si="2001">SUM(M1723:R1723)</f>
        <v>515244</v>
      </c>
      <c r="T1723" s="217">
        <f t="shared" ref="T1723" si="2002">S1723+L1723</f>
        <v>515244</v>
      </c>
      <c r="U1723" s="524"/>
      <c r="V1723" s="524"/>
      <c r="W1723" s="524"/>
      <c r="X1723" s="524"/>
      <c r="Y1723" s="524"/>
      <c r="Z1723" s="217">
        <f>SUM(U1723:Y1723)</f>
        <v>0</v>
      </c>
      <c r="AA1723" s="217">
        <f>Z1723+T1723</f>
        <v>515244</v>
      </c>
      <c r="AB1723" s="524"/>
      <c r="AC1723" s="524"/>
      <c r="AD1723" s="524"/>
      <c r="AE1723" s="524"/>
      <c r="AF1723" s="524"/>
      <c r="AG1723" s="217">
        <f t="shared" si="1999"/>
        <v>0</v>
      </c>
      <c r="AH1723" s="217">
        <f t="shared" si="2000"/>
        <v>515244</v>
      </c>
      <c r="AI1723" s="217">
        <v>515244</v>
      </c>
      <c r="AJ1723" s="764">
        <f>AI1723/AH1723*100</f>
        <v>100</v>
      </c>
    </row>
    <row r="1724" spans="1:36" ht="14">
      <c r="A1724" s="40"/>
      <c r="B1724" s="40"/>
      <c r="C1724" s="124">
        <v>2</v>
      </c>
      <c r="D1724" s="124"/>
      <c r="E1724" s="124"/>
      <c r="F1724" s="41"/>
      <c r="G1724" s="41"/>
      <c r="H1724" s="66" t="s">
        <v>211</v>
      </c>
      <c r="I1724" s="125"/>
      <c r="J1724" s="547"/>
      <c r="K1724" s="525"/>
      <c r="L1724" s="526"/>
      <c r="M1724" s="526"/>
      <c r="N1724" s="526"/>
      <c r="O1724" s="526"/>
      <c r="P1724" s="526"/>
      <c r="Q1724" s="526"/>
      <c r="R1724" s="526"/>
      <c r="S1724" s="217"/>
      <c r="T1724" s="217"/>
      <c r="U1724" s="526"/>
      <c r="V1724" s="526"/>
      <c r="W1724" s="526"/>
      <c r="X1724" s="526"/>
      <c r="Y1724" s="526"/>
      <c r="Z1724" s="217"/>
      <c r="AA1724" s="217"/>
      <c r="AB1724" s="526"/>
      <c r="AC1724" s="526"/>
      <c r="AD1724" s="526"/>
      <c r="AE1724" s="526"/>
      <c r="AF1724" s="526"/>
      <c r="AG1724" s="217"/>
      <c r="AH1724" s="217"/>
      <c r="AI1724" s="217"/>
      <c r="AJ1724" s="764"/>
    </row>
    <row r="1725" spans="1:36" ht="14">
      <c r="A1725" s="40"/>
      <c r="B1725" s="40"/>
      <c r="C1725" s="124"/>
      <c r="D1725" s="124">
        <v>6</v>
      </c>
      <c r="E1725" s="124" t="s">
        <v>199</v>
      </c>
      <c r="F1725" s="41"/>
      <c r="G1725" s="41"/>
      <c r="H1725" s="125"/>
      <c r="I1725" s="66" t="s">
        <v>213</v>
      </c>
      <c r="J1725" s="547"/>
      <c r="K1725" s="525">
        <v>146019049</v>
      </c>
      <c r="L1725" s="526">
        <f>SUM(J1725:K1725)</f>
        <v>146019049</v>
      </c>
      <c r="M1725" s="526"/>
      <c r="N1725" s="526"/>
      <c r="O1725" s="526"/>
      <c r="P1725" s="526"/>
      <c r="Q1725" s="526">
        <v>-8365677</v>
      </c>
      <c r="R1725" s="526"/>
      <c r="S1725" s="217">
        <f t="shared" si="1997"/>
        <v>-8365677</v>
      </c>
      <c r="T1725" s="217">
        <f t="shared" si="1998"/>
        <v>137653372</v>
      </c>
      <c r="U1725" s="526"/>
      <c r="V1725" s="526"/>
      <c r="W1725" s="526"/>
      <c r="X1725" s="526">
        <v>5649959</v>
      </c>
      <c r="Y1725" s="526"/>
      <c r="Z1725" s="217">
        <f>SUM(U1725:Y1725)</f>
        <v>5649959</v>
      </c>
      <c r="AA1725" s="217">
        <f>Z1725+T1725</f>
        <v>143303331</v>
      </c>
      <c r="AB1725" s="526"/>
      <c r="AC1725" s="526"/>
      <c r="AD1725" s="526">
        <v>-8286943</v>
      </c>
      <c r="AE1725" s="526">
        <v>-27380733</v>
      </c>
      <c r="AF1725" s="526"/>
      <c r="AG1725" s="217">
        <f t="shared" ref="AG1725:AG1726" si="2003">SUM(AB1725:AF1725)</f>
        <v>-35667676</v>
      </c>
      <c r="AH1725" s="217">
        <f t="shared" ref="AH1725:AH1726" si="2004">AG1725+AA1725</f>
        <v>107635655</v>
      </c>
      <c r="AI1725" s="217">
        <v>8864570</v>
      </c>
      <c r="AJ1725" s="764">
        <f>AI1725/AH1725*100</f>
        <v>8.2357189167474303</v>
      </c>
    </row>
    <row r="1726" spans="1:36" ht="14">
      <c r="A1726" s="40"/>
      <c r="B1726" s="40"/>
      <c r="C1726" s="124"/>
      <c r="D1726" s="124">
        <v>8</v>
      </c>
      <c r="E1726" s="124" t="s">
        <v>199</v>
      </c>
      <c r="F1726" s="41"/>
      <c r="G1726" s="41"/>
      <c r="H1726" s="125"/>
      <c r="I1726" s="66" t="s">
        <v>608</v>
      </c>
      <c r="J1726" s="554"/>
      <c r="K1726" s="546"/>
      <c r="L1726" s="526"/>
      <c r="M1726" s="526"/>
      <c r="N1726" s="526"/>
      <c r="O1726" s="526"/>
      <c r="P1726" s="526"/>
      <c r="Q1726" s="526">
        <v>9821097</v>
      </c>
      <c r="R1726" s="526"/>
      <c r="S1726" s="217">
        <f t="shared" si="1997"/>
        <v>9821097</v>
      </c>
      <c r="T1726" s="217">
        <f t="shared" si="1998"/>
        <v>9821097</v>
      </c>
      <c r="U1726" s="526"/>
      <c r="V1726" s="526"/>
      <c r="W1726" s="526"/>
      <c r="X1726" s="526"/>
      <c r="Y1726" s="526"/>
      <c r="Z1726" s="217">
        <f>SUM(U1726:Y1726)</f>
        <v>0</v>
      </c>
      <c r="AA1726" s="217">
        <f>Z1726+T1726</f>
        <v>9821097</v>
      </c>
      <c r="AB1726" s="526"/>
      <c r="AC1726" s="526"/>
      <c r="AD1726" s="526"/>
      <c r="AE1726" s="526"/>
      <c r="AF1726" s="526"/>
      <c r="AG1726" s="217">
        <f t="shared" si="2003"/>
        <v>0</v>
      </c>
      <c r="AH1726" s="217">
        <f t="shared" si="2004"/>
        <v>9821097</v>
      </c>
      <c r="AI1726" s="217">
        <v>9821097</v>
      </c>
      <c r="AJ1726" s="764">
        <f>AI1726/AH1726*100</f>
        <v>100</v>
      </c>
    </row>
    <row r="1727" spans="1:36" ht="14">
      <c r="A1727" s="40"/>
      <c r="B1727" s="40"/>
      <c r="C1727" s="124"/>
      <c r="D1727" s="124"/>
      <c r="E1727" s="124"/>
      <c r="F1727" s="41"/>
      <c r="G1727" s="41"/>
      <c r="H1727" s="63"/>
      <c r="I1727" s="41"/>
      <c r="J1727" s="549"/>
      <c r="K1727" s="549"/>
      <c r="L1727" s="550"/>
      <c r="M1727" s="550"/>
      <c r="N1727" s="550"/>
      <c r="O1727" s="550"/>
      <c r="P1727" s="550"/>
      <c r="Q1727" s="550"/>
      <c r="R1727" s="550"/>
      <c r="S1727" s="550"/>
      <c r="T1727" s="550"/>
      <c r="U1727" s="550"/>
      <c r="V1727" s="550"/>
      <c r="W1727" s="550"/>
      <c r="X1727" s="550"/>
      <c r="Y1727" s="550"/>
      <c r="Z1727" s="550"/>
      <c r="AA1727" s="550"/>
      <c r="AB1727" s="550"/>
      <c r="AC1727" s="550"/>
      <c r="AD1727" s="550"/>
      <c r="AE1727" s="550"/>
      <c r="AF1727" s="550"/>
      <c r="AG1727" s="550"/>
      <c r="AH1727" s="550"/>
      <c r="AI1727" s="550"/>
      <c r="AJ1727" s="783"/>
    </row>
    <row r="1728" spans="1:36" ht="14">
      <c r="A1728" s="40"/>
      <c r="B1728" s="40"/>
      <c r="C1728" s="124"/>
      <c r="D1728" s="124"/>
      <c r="E1728" s="124"/>
      <c r="F1728" s="64"/>
      <c r="G1728" s="64"/>
      <c r="H1728" s="65"/>
      <c r="I1728" s="64" t="s">
        <v>38</v>
      </c>
      <c r="J1728" s="548">
        <f>SUM(J1722:J1727)</f>
        <v>3347264</v>
      </c>
      <c r="K1728" s="457">
        <f>SUM(K1722:K1727)</f>
        <v>146019049</v>
      </c>
      <c r="L1728" s="458">
        <f>SUM(L1722:L1727)</f>
        <v>149366313</v>
      </c>
      <c r="M1728" s="458">
        <f t="shared" ref="M1728:T1728" si="2005">SUM(M1722:M1727)</f>
        <v>0</v>
      </c>
      <c r="N1728" s="458">
        <f t="shared" si="2005"/>
        <v>0</v>
      </c>
      <c r="O1728" s="458">
        <f t="shared" si="2005"/>
        <v>0</v>
      </c>
      <c r="P1728" s="458">
        <f t="shared" si="2005"/>
        <v>0</v>
      </c>
      <c r="Q1728" s="458">
        <f t="shared" si="2005"/>
        <v>2216601</v>
      </c>
      <c r="R1728" s="458">
        <f t="shared" si="2005"/>
        <v>0</v>
      </c>
      <c r="S1728" s="458">
        <f t="shared" si="2005"/>
        <v>2216601</v>
      </c>
      <c r="T1728" s="458">
        <f t="shared" si="2005"/>
        <v>151582914</v>
      </c>
      <c r="U1728" s="458"/>
      <c r="V1728" s="458"/>
      <c r="W1728" s="458"/>
      <c r="X1728" s="458">
        <f t="shared" ref="X1728:AA1728" si="2006">SUM(X1722:X1727)</f>
        <v>5649959</v>
      </c>
      <c r="Y1728" s="458"/>
      <c r="Z1728" s="458">
        <f t="shared" si="2006"/>
        <v>5649959</v>
      </c>
      <c r="AA1728" s="458">
        <f t="shared" si="2006"/>
        <v>157232873</v>
      </c>
      <c r="AB1728" s="458"/>
      <c r="AC1728" s="458"/>
      <c r="AD1728" s="458">
        <f t="shared" ref="AD1728:AE1728" si="2007">SUM(AD1722:AD1727)</f>
        <v>-8375171</v>
      </c>
      <c r="AE1728" s="458">
        <f t="shared" si="2007"/>
        <v>-5539383</v>
      </c>
      <c r="AF1728" s="458"/>
      <c r="AG1728" s="458">
        <f t="shared" ref="AG1728:AI1728" si="2008">SUM(AG1722:AG1727)</f>
        <v>-13914554</v>
      </c>
      <c r="AH1728" s="458">
        <f t="shared" si="2008"/>
        <v>143318319</v>
      </c>
      <c r="AI1728" s="458">
        <f t="shared" si="2008"/>
        <v>22540884</v>
      </c>
      <c r="AJ1728" s="770">
        <f>AI1728/AH1728*100</f>
        <v>15.727845649654878</v>
      </c>
    </row>
    <row r="1729" spans="1:36" ht="18.5" customHeight="1">
      <c r="A1729" s="40"/>
      <c r="B1729" s="40"/>
      <c r="C1729" s="124"/>
      <c r="D1729" s="124"/>
      <c r="E1729" s="124"/>
      <c r="F1729" s="41"/>
      <c r="G1729" s="41"/>
      <c r="H1729" s="66"/>
      <c r="I1729" s="41"/>
      <c r="J1729" s="555"/>
      <c r="K1729" s="556"/>
      <c r="L1729" s="205"/>
      <c r="M1729" s="205"/>
      <c r="N1729" s="205"/>
      <c r="O1729" s="205"/>
      <c r="P1729" s="205"/>
      <c r="Q1729" s="205"/>
      <c r="R1729" s="205"/>
      <c r="S1729" s="205"/>
      <c r="T1729" s="205"/>
      <c r="U1729" s="205"/>
      <c r="V1729" s="205"/>
      <c r="W1729" s="205"/>
      <c r="X1729" s="205"/>
      <c r="Y1729" s="205"/>
      <c r="Z1729" s="205"/>
      <c r="AA1729" s="205"/>
      <c r="AB1729" s="205"/>
      <c r="AC1729" s="205"/>
      <c r="AD1729" s="205"/>
      <c r="AE1729" s="205"/>
      <c r="AF1729" s="205"/>
      <c r="AG1729" s="205"/>
      <c r="AH1729" s="205"/>
      <c r="AI1729" s="205"/>
      <c r="AJ1729" s="747"/>
    </row>
    <row r="1730" spans="1:36" ht="14">
      <c r="A1730" s="40"/>
      <c r="B1730" s="40">
        <v>17</v>
      </c>
      <c r="C1730" s="124"/>
      <c r="D1730" s="124"/>
      <c r="E1730" s="124"/>
      <c r="F1730" s="41"/>
      <c r="G1730" s="935" t="s">
        <v>460</v>
      </c>
      <c r="H1730" s="935"/>
      <c r="I1730" s="935"/>
      <c r="J1730" s="544"/>
      <c r="K1730" s="542"/>
      <c r="L1730" s="205"/>
      <c r="M1730" s="205"/>
      <c r="N1730" s="205"/>
      <c r="O1730" s="205"/>
      <c r="P1730" s="205"/>
      <c r="Q1730" s="205"/>
      <c r="R1730" s="205"/>
      <c r="S1730" s="205"/>
      <c r="T1730" s="205"/>
      <c r="U1730" s="205"/>
      <c r="V1730" s="205"/>
      <c r="W1730" s="205"/>
      <c r="X1730" s="205"/>
      <c r="Y1730" s="205"/>
      <c r="Z1730" s="205"/>
      <c r="AA1730" s="205"/>
      <c r="AB1730" s="205"/>
      <c r="AC1730" s="205"/>
      <c r="AD1730" s="205"/>
      <c r="AE1730" s="205"/>
      <c r="AF1730" s="205"/>
      <c r="AG1730" s="205"/>
      <c r="AH1730" s="205"/>
      <c r="AI1730" s="205"/>
      <c r="AJ1730" s="747"/>
    </row>
    <row r="1731" spans="1:36" ht="14">
      <c r="A1731" s="40"/>
      <c r="B1731" s="40"/>
      <c r="C1731" s="124">
        <v>2</v>
      </c>
      <c r="D1731" s="124"/>
      <c r="E1731" s="124"/>
      <c r="F1731" s="41"/>
      <c r="G1731" s="41"/>
      <c r="H1731" s="66" t="s">
        <v>211</v>
      </c>
      <c r="I1731" s="125"/>
      <c r="J1731" s="547"/>
      <c r="K1731" s="525"/>
      <c r="L1731" s="526"/>
      <c r="M1731" s="526"/>
      <c r="N1731" s="526"/>
      <c r="O1731" s="526"/>
      <c r="P1731" s="526"/>
      <c r="Q1731" s="526"/>
      <c r="R1731" s="526"/>
      <c r="S1731" s="526"/>
      <c r="T1731" s="526"/>
      <c r="U1731" s="526"/>
      <c r="V1731" s="526"/>
      <c r="W1731" s="526"/>
      <c r="X1731" s="526"/>
      <c r="Y1731" s="526"/>
      <c r="Z1731" s="526"/>
      <c r="AA1731" s="526"/>
      <c r="AB1731" s="526"/>
      <c r="AC1731" s="526"/>
      <c r="AD1731" s="526"/>
      <c r="AE1731" s="526"/>
      <c r="AF1731" s="526"/>
      <c r="AG1731" s="526"/>
      <c r="AH1731" s="526"/>
      <c r="AI1731" s="526"/>
      <c r="AJ1731" s="779"/>
    </row>
    <row r="1732" spans="1:36" ht="14">
      <c r="A1732" s="40"/>
      <c r="B1732" s="40"/>
      <c r="C1732" s="124"/>
      <c r="D1732" s="124">
        <v>6</v>
      </c>
      <c r="E1732" s="124" t="s">
        <v>198</v>
      </c>
      <c r="F1732" s="41"/>
      <c r="G1732" s="41"/>
      <c r="H1732" s="125"/>
      <c r="I1732" s="66" t="s">
        <v>213</v>
      </c>
      <c r="J1732" s="547"/>
      <c r="K1732" s="525">
        <v>927805</v>
      </c>
      <c r="L1732" s="526">
        <f>SUM(J1732:K1732)</f>
        <v>927805</v>
      </c>
      <c r="M1732" s="526"/>
      <c r="N1732" s="526"/>
      <c r="O1732" s="526"/>
      <c r="P1732" s="526"/>
      <c r="Q1732" s="526"/>
      <c r="R1732" s="526"/>
      <c r="S1732" s="217">
        <f t="shared" ref="S1732" si="2009">SUM(M1732:R1732)</f>
        <v>0</v>
      </c>
      <c r="T1732" s="217">
        <f t="shared" ref="T1732" si="2010">S1732+L1732</f>
        <v>927805</v>
      </c>
      <c r="U1732" s="526"/>
      <c r="V1732" s="526"/>
      <c r="W1732" s="526"/>
      <c r="X1732" s="526"/>
      <c r="Y1732" s="526"/>
      <c r="Z1732" s="217">
        <f>SUM(U1732:Y1732)</f>
        <v>0</v>
      </c>
      <c r="AA1732" s="217">
        <f>Z1732+T1732</f>
        <v>927805</v>
      </c>
      <c r="AB1732" s="526"/>
      <c r="AC1732" s="526"/>
      <c r="AD1732" s="526"/>
      <c r="AE1732" s="526"/>
      <c r="AF1732" s="526"/>
      <c r="AG1732" s="217">
        <f t="shared" ref="AG1732" si="2011">SUM(AB1732:AF1732)</f>
        <v>0</v>
      </c>
      <c r="AH1732" s="217">
        <f t="shared" ref="AH1732" si="2012">AG1732+AA1732</f>
        <v>927805</v>
      </c>
      <c r="AI1732" s="217">
        <v>927805</v>
      </c>
      <c r="AJ1732" s="764">
        <f>AI1732/AH1732*100</f>
        <v>100</v>
      </c>
    </row>
    <row r="1733" spans="1:36" ht="14">
      <c r="A1733" s="40"/>
      <c r="B1733" s="40"/>
      <c r="C1733" s="124"/>
      <c r="D1733" s="124"/>
      <c r="E1733" s="124"/>
      <c r="F1733" s="41"/>
      <c r="G1733" s="41"/>
      <c r="H1733" s="63"/>
      <c r="I1733" s="41"/>
      <c r="J1733" s="549"/>
      <c r="K1733" s="549"/>
      <c r="L1733" s="205"/>
      <c r="M1733" s="205"/>
      <c r="N1733" s="205"/>
      <c r="O1733" s="205"/>
      <c r="P1733" s="205"/>
      <c r="Q1733" s="205"/>
      <c r="R1733" s="205"/>
      <c r="S1733" s="205"/>
      <c r="T1733" s="205"/>
      <c r="U1733" s="205"/>
      <c r="V1733" s="205"/>
      <c r="W1733" s="205"/>
      <c r="X1733" s="205"/>
      <c r="Y1733" s="205"/>
      <c r="Z1733" s="205"/>
      <c r="AA1733" s="205"/>
      <c r="AB1733" s="205"/>
      <c r="AC1733" s="205"/>
      <c r="AD1733" s="205"/>
      <c r="AE1733" s="205"/>
      <c r="AF1733" s="205"/>
      <c r="AG1733" s="205"/>
      <c r="AH1733" s="205"/>
      <c r="AI1733" s="205"/>
      <c r="AJ1733" s="747"/>
    </row>
    <row r="1734" spans="1:36" ht="14">
      <c r="A1734" s="40"/>
      <c r="B1734" s="40"/>
      <c r="C1734" s="124"/>
      <c r="D1734" s="124"/>
      <c r="E1734" s="124"/>
      <c r="F1734" s="64"/>
      <c r="G1734" s="64"/>
      <c r="H1734" s="65"/>
      <c r="I1734" s="64" t="s">
        <v>38</v>
      </c>
      <c r="J1734" s="548">
        <f>SUM(J1731:J1733)</f>
        <v>0</v>
      </c>
      <c r="K1734" s="457">
        <f>SUM(K1731:K1733)</f>
        <v>927805</v>
      </c>
      <c r="L1734" s="333">
        <f>SUM(L1731:L1733)</f>
        <v>927805</v>
      </c>
      <c r="M1734" s="333">
        <f t="shared" ref="M1734:T1734" si="2013">SUM(M1731:M1733)</f>
        <v>0</v>
      </c>
      <c r="N1734" s="333">
        <f t="shared" si="2013"/>
        <v>0</v>
      </c>
      <c r="O1734" s="333">
        <f t="shared" si="2013"/>
        <v>0</v>
      </c>
      <c r="P1734" s="333">
        <f t="shared" si="2013"/>
        <v>0</v>
      </c>
      <c r="Q1734" s="333">
        <f t="shared" si="2013"/>
        <v>0</v>
      </c>
      <c r="R1734" s="333">
        <f t="shared" si="2013"/>
        <v>0</v>
      </c>
      <c r="S1734" s="333">
        <f t="shared" si="2013"/>
        <v>0</v>
      </c>
      <c r="T1734" s="333">
        <f t="shared" si="2013"/>
        <v>927805</v>
      </c>
      <c r="U1734" s="333"/>
      <c r="V1734" s="333"/>
      <c r="W1734" s="333"/>
      <c r="X1734" s="333"/>
      <c r="Y1734" s="333"/>
      <c r="Z1734" s="333">
        <f t="shared" ref="Z1734:AA1734" si="2014">SUM(Z1731:Z1733)</f>
        <v>0</v>
      </c>
      <c r="AA1734" s="333">
        <f t="shared" si="2014"/>
        <v>927805</v>
      </c>
      <c r="AB1734" s="333"/>
      <c r="AC1734" s="333"/>
      <c r="AD1734" s="333"/>
      <c r="AE1734" s="333"/>
      <c r="AF1734" s="333"/>
      <c r="AG1734" s="333">
        <f t="shared" ref="AG1734:AH1734" si="2015">SUM(AG1731:AG1733)</f>
        <v>0</v>
      </c>
      <c r="AH1734" s="333">
        <f t="shared" si="2015"/>
        <v>927805</v>
      </c>
      <c r="AI1734" s="333">
        <f t="shared" ref="AI1734" si="2016">SUM(AI1731:AI1733)</f>
        <v>927805</v>
      </c>
      <c r="AJ1734" s="857">
        <f>AI1734/AH1734*100</f>
        <v>100</v>
      </c>
    </row>
    <row r="1735" spans="1:36" ht="14">
      <c r="A1735" s="40"/>
      <c r="B1735" s="40"/>
      <c r="C1735" s="124"/>
      <c r="D1735" s="124"/>
      <c r="E1735" s="124"/>
      <c r="F1735" s="41"/>
      <c r="G1735" s="41"/>
      <c r="H1735" s="66"/>
      <c r="I1735" s="41"/>
      <c r="J1735" s="555"/>
      <c r="K1735" s="556"/>
      <c r="L1735" s="205"/>
      <c r="M1735" s="205"/>
      <c r="N1735" s="205"/>
      <c r="O1735" s="205"/>
      <c r="P1735" s="205"/>
      <c r="Q1735" s="205"/>
      <c r="R1735" s="205"/>
      <c r="S1735" s="205"/>
      <c r="T1735" s="205"/>
      <c r="U1735" s="205"/>
      <c r="V1735" s="205"/>
      <c r="W1735" s="205"/>
      <c r="X1735" s="205"/>
      <c r="Y1735" s="205"/>
      <c r="Z1735" s="205"/>
      <c r="AA1735" s="205"/>
      <c r="AB1735" s="205"/>
      <c r="AC1735" s="205"/>
      <c r="AD1735" s="205"/>
      <c r="AE1735" s="205"/>
      <c r="AF1735" s="205"/>
      <c r="AG1735" s="205"/>
      <c r="AH1735" s="205"/>
      <c r="AI1735" s="205"/>
      <c r="AJ1735" s="747"/>
    </row>
    <row r="1736" spans="1:36" ht="28" customHeight="1">
      <c r="A1736" s="40"/>
      <c r="B1736" s="40">
        <v>18</v>
      </c>
      <c r="C1736" s="124"/>
      <c r="D1736" s="124"/>
      <c r="E1736" s="124"/>
      <c r="F1736" s="41"/>
      <c r="G1736" s="935" t="s">
        <v>703</v>
      </c>
      <c r="H1736" s="935"/>
      <c r="I1736" s="935"/>
      <c r="J1736" s="544"/>
      <c r="K1736" s="542"/>
      <c r="L1736" s="205"/>
      <c r="M1736" s="205"/>
      <c r="N1736" s="205"/>
      <c r="O1736" s="205"/>
      <c r="P1736" s="205"/>
      <c r="Q1736" s="205"/>
      <c r="R1736" s="205"/>
      <c r="S1736" s="205"/>
      <c r="T1736" s="205"/>
      <c r="U1736" s="205"/>
      <c r="V1736" s="205"/>
      <c r="W1736" s="205"/>
      <c r="X1736" s="205"/>
      <c r="Y1736" s="205"/>
      <c r="Z1736" s="205"/>
      <c r="AA1736" s="205"/>
      <c r="AB1736" s="205"/>
      <c r="AC1736" s="205"/>
      <c r="AD1736" s="205"/>
      <c r="AE1736" s="205"/>
      <c r="AF1736" s="205"/>
      <c r="AG1736" s="205"/>
      <c r="AH1736" s="205"/>
      <c r="AI1736" s="205"/>
      <c r="AJ1736" s="747"/>
    </row>
    <row r="1737" spans="1:36" ht="14">
      <c r="A1737" s="40"/>
      <c r="B1737" s="40"/>
      <c r="C1737" s="124">
        <v>2</v>
      </c>
      <c r="D1737" s="124"/>
      <c r="E1737" s="124"/>
      <c r="F1737" s="41"/>
      <c r="G1737" s="41"/>
      <c r="H1737" s="66" t="s">
        <v>211</v>
      </c>
      <c r="I1737" s="125"/>
      <c r="J1737" s="547"/>
      <c r="K1737" s="525"/>
      <c r="L1737" s="526"/>
      <c r="M1737" s="526"/>
      <c r="N1737" s="526"/>
      <c r="O1737" s="526"/>
      <c r="P1737" s="526"/>
      <c r="Q1737" s="526"/>
      <c r="R1737" s="526"/>
      <c r="S1737" s="526"/>
      <c r="T1737" s="526"/>
      <c r="U1737" s="526"/>
      <c r="V1737" s="526"/>
      <c r="W1737" s="526"/>
      <c r="X1737" s="526"/>
      <c r="Y1737" s="526"/>
      <c r="Z1737" s="526"/>
      <c r="AA1737" s="526"/>
      <c r="AB1737" s="526"/>
      <c r="AC1737" s="526"/>
      <c r="AD1737" s="526"/>
      <c r="AE1737" s="526"/>
      <c r="AF1737" s="526"/>
      <c r="AG1737" s="526"/>
      <c r="AH1737" s="526"/>
      <c r="AI1737" s="526"/>
      <c r="AJ1737" s="779"/>
    </row>
    <row r="1738" spans="1:36" ht="14">
      <c r="A1738" s="40"/>
      <c r="B1738" s="40"/>
      <c r="C1738" s="124"/>
      <c r="D1738" s="124">
        <v>6</v>
      </c>
      <c r="E1738" s="124" t="s">
        <v>198</v>
      </c>
      <c r="F1738" s="41"/>
      <c r="G1738" s="41"/>
      <c r="H1738" s="125"/>
      <c r="I1738" s="66" t="s">
        <v>213</v>
      </c>
      <c r="J1738" s="547"/>
      <c r="K1738" s="525">
        <v>927805</v>
      </c>
      <c r="L1738" s="526"/>
      <c r="M1738" s="526"/>
      <c r="N1738" s="526"/>
      <c r="O1738" s="526"/>
      <c r="P1738" s="526"/>
      <c r="Q1738" s="526"/>
      <c r="R1738" s="526"/>
      <c r="S1738" s="217">
        <f t="shared" ref="S1738" si="2017">SUM(M1738:R1738)</f>
        <v>0</v>
      </c>
      <c r="T1738" s="217">
        <f t="shared" ref="T1738" si="2018">S1738+L1738</f>
        <v>0</v>
      </c>
      <c r="U1738" s="526"/>
      <c r="V1738" s="526"/>
      <c r="W1738" s="526"/>
      <c r="X1738" s="526"/>
      <c r="Y1738" s="526"/>
      <c r="Z1738" s="217">
        <f>SUM(U1738:Y1738)</f>
        <v>0</v>
      </c>
      <c r="AA1738" s="217"/>
      <c r="AB1738" s="526"/>
      <c r="AC1738" s="526"/>
      <c r="AD1738" s="526"/>
      <c r="AE1738" s="526">
        <v>3136900</v>
      </c>
      <c r="AF1738" s="526"/>
      <c r="AG1738" s="217">
        <f t="shared" ref="AG1738" si="2019">SUM(AB1738:AF1738)</f>
        <v>3136900</v>
      </c>
      <c r="AH1738" s="217">
        <f t="shared" ref="AH1738" si="2020">AG1738+AA1738</f>
        <v>3136900</v>
      </c>
      <c r="AI1738" s="217"/>
      <c r="AJ1738" s="764"/>
    </row>
    <row r="1739" spans="1:36" ht="14">
      <c r="A1739" s="40"/>
      <c r="B1739" s="40"/>
      <c r="C1739" s="124"/>
      <c r="D1739" s="124"/>
      <c r="E1739" s="124"/>
      <c r="F1739" s="41"/>
      <c r="G1739" s="41"/>
      <c r="H1739" s="63"/>
      <c r="I1739" s="41"/>
      <c r="J1739" s="549"/>
      <c r="K1739" s="549"/>
      <c r="L1739" s="205"/>
      <c r="M1739" s="205"/>
      <c r="N1739" s="205"/>
      <c r="O1739" s="205"/>
      <c r="P1739" s="205"/>
      <c r="Q1739" s="205"/>
      <c r="R1739" s="205"/>
      <c r="S1739" s="205"/>
      <c r="T1739" s="205"/>
      <c r="U1739" s="205"/>
      <c r="V1739" s="205"/>
      <c r="W1739" s="205"/>
      <c r="X1739" s="205"/>
      <c r="Y1739" s="205"/>
      <c r="Z1739" s="205"/>
      <c r="AA1739" s="205"/>
      <c r="AB1739" s="205"/>
      <c r="AC1739" s="205"/>
      <c r="AD1739" s="205"/>
      <c r="AE1739" s="205"/>
      <c r="AF1739" s="205"/>
      <c r="AG1739" s="205"/>
      <c r="AH1739" s="205"/>
      <c r="AI1739" s="205"/>
      <c r="AJ1739" s="747"/>
    </row>
    <row r="1740" spans="1:36" ht="14">
      <c r="A1740" s="40"/>
      <c r="B1740" s="40"/>
      <c r="C1740" s="124"/>
      <c r="D1740" s="124"/>
      <c r="E1740" s="124"/>
      <c r="F1740" s="64"/>
      <c r="G1740" s="64"/>
      <c r="H1740" s="65"/>
      <c r="I1740" s="64" t="s">
        <v>38</v>
      </c>
      <c r="J1740" s="548">
        <f>SUM(J1737:J1739)</f>
        <v>0</v>
      </c>
      <c r="K1740" s="457">
        <f>SUM(K1737:K1739)</f>
        <v>927805</v>
      </c>
      <c r="L1740" s="333">
        <f>SUM(L1737:L1739)</f>
        <v>0</v>
      </c>
      <c r="M1740" s="333">
        <f t="shared" ref="M1740:T1740" si="2021">SUM(M1737:M1739)</f>
        <v>0</v>
      </c>
      <c r="N1740" s="333">
        <f t="shared" si="2021"/>
        <v>0</v>
      </c>
      <c r="O1740" s="333">
        <f t="shared" si="2021"/>
        <v>0</v>
      </c>
      <c r="P1740" s="333">
        <f t="shared" si="2021"/>
        <v>0</v>
      </c>
      <c r="Q1740" s="333">
        <f t="shared" si="2021"/>
        <v>0</v>
      </c>
      <c r="R1740" s="333">
        <f t="shared" si="2021"/>
        <v>0</v>
      </c>
      <c r="S1740" s="333">
        <f t="shared" si="2021"/>
        <v>0</v>
      </c>
      <c r="T1740" s="333">
        <f t="shared" si="2021"/>
        <v>0</v>
      </c>
      <c r="U1740" s="333"/>
      <c r="V1740" s="333"/>
      <c r="W1740" s="333"/>
      <c r="X1740" s="333"/>
      <c r="Y1740" s="333"/>
      <c r="Z1740" s="333">
        <f t="shared" ref="Z1740:AA1740" si="2022">SUM(Z1737:Z1739)</f>
        <v>0</v>
      </c>
      <c r="AA1740" s="333">
        <f t="shared" si="2022"/>
        <v>0</v>
      </c>
      <c r="AB1740" s="333"/>
      <c r="AC1740" s="333"/>
      <c r="AD1740" s="333"/>
      <c r="AE1740" s="333">
        <f t="shared" ref="AE1740:AH1740" si="2023">SUM(AE1737:AE1739)</f>
        <v>3136900</v>
      </c>
      <c r="AF1740" s="333"/>
      <c r="AG1740" s="333">
        <f t="shared" si="2023"/>
        <v>3136900</v>
      </c>
      <c r="AH1740" s="333">
        <f t="shared" si="2023"/>
        <v>3136900</v>
      </c>
      <c r="AI1740" s="333"/>
      <c r="AJ1740" s="857"/>
    </row>
    <row r="1741" spans="1:36" ht="14">
      <c r="A1741" s="40"/>
      <c r="B1741" s="40"/>
      <c r="C1741" s="124"/>
      <c r="D1741" s="124"/>
      <c r="E1741" s="124"/>
      <c r="F1741" s="41"/>
      <c r="G1741" s="41"/>
      <c r="H1741" s="66"/>
      <c r="I1741" s="41"/>
      <c r="J1741" s="557"/>
      <c r="K1741" s="558"/>
      <c r="L1741" s="559"/>
      <c r="M1741" s="559"/>
      <c r="N1741" s="559"/>
      <c r="O1741" s="559"/>
      <c r="P1741" s="559"/>
      <c r="Q1741" s="559"/>
      <c r="R1741" s="559"/>
      <c r="S1741" s="559"/>
      <c r="T1741" s="559"/>
      <c r="U1741" s="559"/>
      <c r="V1741" s="559"/>
      <c r="W1741" s="559"/>
      <c r="X1741" s="559"/>
      <c r="Y1741" s="559"/>
      <c r="Z1741" s="559"/>
      <c r="AA1741" s="559"/>
      <c r="AB1741" s="559"/>
      <c r="AC1741" s="559"/>
      <c r="AD1741" s="559"/>
      <c r="AE1741" s="559"/>
      <c r="AF1741" s="559"/>
      <c r="AG1741" s="559"/>
      <c r="AH1741" s="559"/>
      <c r="AI1741" s="559"/>
      <c r="AJ1741" s="785"/>
    </row>
    <row r="1742" spans="1:36" ht="12.5" customHeight="1">
      <c r="A1742" s="40"/>
      <c r="B1742" s="40"/>
      <c r="C1742" s="124"/>
      <c r="D1742" s="124"/>
      <c r="E1742" s="124"/>
      <c r="F1742" s="42"/>
      <c r="G1742" s="42"/>
      <c r="H1742" s="165"/>
      <c r="I1742" s="166" t="s">
        <v>37</v>
      </c>
      <c r="J1742" s="560">
        <f t="shared" ref="J1742:T1742" si="2024">J1606+J1614+J1622+J1630+J1638+J1646+J1654+J1662+J1670+J1678+J1686+J1694+J1702+J1710+J1718+J1728+J1734</f>
        <v>559426587</v>
      </c>
      <c r="K1742" s="561">
        <f t="shared" si="2024"/>
        <v>7774212234</v>
      </c>
      <c r="L1742" s="530">
        <f t="shared" si="2024"/>
        <v>8333638821</v>
      </c>
      <c r="M1742" s="530">
        <f t="shared" si="2024"/>
        <v>0</v>
      </c>
      <c r="N1742" s="530">
        <f t="shared" si="2024"/>
        <v>0</v>
      </c>
      <c r="O1742" s="530">
        <f t="shared" si="2024"/>
        <v>0</v>
      </c>
      <c r="P1742" s="530">
        <f t="shared" si="2024"/>
        <v>0</v>
      </c>
      <c r="Q1742" s="530">
        <f t="shared" si="2024"/>
        <v>-14985374</v>
      </c>
      <c r="R1742" s="530">
        <f t="shared" si="2024"/>
        <v>0</v>
      </c>
      <c r="S1742" s="530">
        <f t="shared" si="2024"/>
        <v>-14985374</v>
      </c>
      <c r="T1742" s="530">
        <f t="shared" si="2024"/>
        <v>8318653447</v>
      </c>
      <c r="U1742" s="530"/>
      <c r="V1742" s="530"/>
      <c r="W1742" s="530"/>
      <c r="X1742" s="530">
        <f>X1606+X1614+X1622+X1630+X1638+X1646+X1654+X1662+X1670+X1678+X1686+X1694+X1702+X1710+X1718+X1728+X1734</f>
        <v>83834614</v>
      </c>
      <c r="Y1742" s="530"/>
      <c r="Z1742" s="530">
        <f>Z1606+Z1614+Z1622+Z1630+Z1638+Z1646+Z1654+Z1662+Z1670+Z1678+Z1686+Z1694+Z1702+Z1710+Z1718+Z1728+Z1734</f>
        <v>83834614</v>
      </c>
      <c r="AA1742" s="530">
        <f>AA1606+AA1614+AA1622+AA1630+AA1638+AA1646+AA1654+AA1662+AA1670+AA1678+AA1686+AA1694+AA1702+AA1710+AA1718+AA1728+AA1734</f>
        <v>8402488061</v>
      </c>
      <c r="AB1742" s="530"/>
      <c r="AC1742" s="530"/>
      <c r="AD1742" s="530">
        <f>AD1606+AD1614+AD1622+AD1630+AD1638+AD1646+AD1654+AD1662+AD1670+AD1678+AD1686+AD1694+AD1702+AD1710+AD1718+AD1728+AD1734</f>
        <v>-895217606</v>
      </c>
      <c r="AE1742" s="530">
        <f>AE1606+AE1614+AE1622+AE1630+AE1638+AE1646+AE1654+AE1662+AE1670+AE1678+AE1686+AE1694+AE1702+AE1710+AE1718+AE1728+AE1734+AE1740</f>
        <v>-1849320</v>
      </c>
      <c r="AF1742" s="530">
        <f t="shared" ref="AF1742:AI1742" si="2025">AF1606+AF1614+AF1622+AF1630+AF1638+AF1646+AF1654+AF1662+AF1670+AF1678+AF1686+AF1694+AF1702+AF1710+AF1718+AF1728+AF1734+AF1740</f>
        <v>0</v>
      </c>
      <c r="AG1742" s="530">
        <f t="shared" si="2025"/>
        <v>-897066926</v>
      </c>
      <c r="AH1742" s="530">
        <f t="shared" si="2025"/>
        <v>7505421135</v>
      </c>
      <c r="AI1742" s="530">
        <f t="shared" si="2025"/>
        <v>1461434608</v>
      </c>
      <c r="AJ1742" s="776">
        <f>AI1742/AH1742*100</f>
        <v>19.471720263435959</v>
      </c>
    </row>
    <row r="1743" spans="1:36" ht="12.5" customHeight="1">
      <c r="A1743" s="40"/>
      <c r="B1743" s="40"/>
      <c r="C1743" s="124"/>
      <c r="D1743" s="124"/>
      <c r="E1743" s="124"/>
      <c r="F1743" s="41"/>
      <c r="G1743" s="41"/>
      <c r="H1743" s="63"/>
      <c r="I1743" s="41"/>
      <c r="J1743" s="562"/>
      <c r="K1743" s="563"/>
      <c r="L1743" s="678"/>
      <c r="M1743" s="678"/>
      <c r="N1743" s="678"/>
      <c r="O1743" s="678"/>
      <c r="P1743" s="678"/>
      <c r="Q1743" s="678"/>
      <c r="R1743" s="678"/>
      <c r="S1743" s="678"/>
      <c r="T1743" s="678"/>
      <c r="U1743" s="678"/>
      <c r="V1743" s="678"/>
      <c r="W1743" s="678"/>
      <c r="X1743" s="678"/>
      <c r="Y1743" s="678"/>
      <c r="Z1743" s="678"/>
      <c r="AA1743" s="678"/>
      <c r="AB1743" s="702"/>
      <c r="AC1743" s="702"/>
      <c r="AD1743" s="702"/>
      <c r="AE1743" s="702"/>
      <c r="AF1743" s="702"/>
      <c r="AG1743" s="702"/>
      <c r="AH1743" s="702"/>
      <c r="AI1743" s="702"/>
      <c r="AJ1743" s="780"/>
    </row>
    <row r="1744" spans="1:36" ht="28.5" customHeight="1">
      <c r="A1744" s="40">
        <v>203</v>
      </c>
      <c r="B1744" s="40"/>
      <c r="C1744" s="124"/>
      <c r="D1744" s="124"/>
      <c r="E1744" s="124"/>
      <c r="F1744" s="942" t="s">
        <v>461</v>
      </c>
      <c r="G1744" s="935"/>
      <c r="H1744" s="935"/>
      <c r="I1744" s="935"/>
      <c r="J1744" s="562"/>
      <c r="K1744" s="679"/>
      <c r="L1744" s="678"/>
      <c r="M1744" s="678"/>
      <c r="N1744" s="678"/>
      <c r="O1744" s="678"/>
      <c r="P1744" s="678"/>
      <c r="Q1744" s="678"/>
      <c r="R1744" s="678"/>
      <c r="S1744" s="678"/>
      <c r="T1744" s="678"/>
      <c r="U1744" s="678"/>
      <c r="V1744" s="678"/>
      <c r="W1744" s="678"/>
      <c r="X1744" s="678"/>
      <c r="Y1744" s="678"/>
      <c r="Z1744" s="678"/>
      <c r="AA1744" s="678"/>
      <c r="AB1744" s="702"/>
      <c r="AC1744" s="702"/>
      <c r="AD1744" s="702"/>
      <c r="AE1744" s="702"/>
      <c r="AF1744" s="702"/>
      <c r="AG1744" s="702"/>
      <c r="AH1744" s="702"/>
      <c r="AI1744" s="702"/>
      <c r="AJ1744" s="780"/>
    </row>
    <row r="1745" spans="1:36" ht="12.5" customHeight="1">
      <c r="A1745" s="40"/>
      <c r="B1745" s="40"/>
      <c r="C1745" s="124">
        <v>2</v>
      </c>
      <c r="D1745" s="124"/>
      <c r="E1745" s="124"/>
      <c r="F1745" s="41"/>
      <c r="G1745" s="41"/>
      <c r="H1745" s="66" t="s">
        <v>211</v>
      </c>
      <c r="I1745" s="125"/>
      <c r="J1745" s="564"/>
      <c r="K1745" s="525"/>
      <c r="L1745" s="526"/>
      <c r="M1745" s="526"/>
      <c r="N1745" s="526"/>
      <c r="O1745" s="526"/>
      <c r="P1745" s="526"/>
      <c r="Q1745" s="526"/>
      <c r="R1745" s="526"/>
      <c r="S1745" s="526"/>
      <c r="T1745" s="526"/>
      <c r="U1745" s="526"/>
      <c r="V1745" s="526"/>
      <c r="W1745" s="526"/>
      <c r="X1745" s="526"/>
      <c r="Y1745" s="526"/>
      <c r="Z1745" s="526"/>
      <c r="AA1745" s="526"/>
      <c r="AB1745" s="526"/>
      <c r="AC1745" s="526"/>
      <c r="AD1745" s="526"/>
      <c r="AE1745" s="526"/>
      <c r="AF1745" s="526"/>
      <c r="AG1745" s="526"/>
      <c r="AH1745" s="526"/>
      <c r="AI1745" s="526"/>
      <c r="AJ1745" s="779"/>
    </row>
    <row r="1746" spans="1:36" ht="12.5" customHeight="1">
      <c r="A1746" s="40"/>
      <c r="B1746" s="40"/>
      <c r="C1746" s="124"/>
      <c r="D1746" s="124">
        <v>6</v>
      </c>
      <c r="E1746" s="124" t="s">
        <v>199</v>
      </c>
      <c r="F1746" s="41"/>
      <c r="G1746" s="41"/>
      <c r="H1746" s="125"/>
      <c r="I1746" s="66" t="s">
        <v>213</v>
      </c>
      <c r="J1746" s="564"/>
      <c r="K1746" s="525">
        <v>4456710000</v>
      </c>
      <c r="L1746" s="526">
        <f>SUM(J1746:K1746)</f>
        <v>4456710000</v>
      </c>
      <c r="M1746" s="526"/>
      <c r="N1746" s="526"/>
      <c r="O1746" s="526"/>
      <c r="P1746" s="526"/>
      <c r="Q1746" s="526"/>
      <c r="R1746" s="526"/>
      <c r="S1746" s="217">
        <f t="shared" ref="S1746" si="2026">SUM(M1746:R1746)</f>
        <v>0</v>
      </c>
      <c r="T1746" s="217">
        <f t="shared" ref="T1746" si="2027">S1746+L1746</f>
        <v>4456710000</v>
      </c>
      <c r="U1746" s="526"/>
      <c r="V1746" s="526"/>
      <c r="W1746" s="526"/>
      <c r="X1746" s="526"/>
      <c r="Y1746" s="526"/>
      <c r="Z1746" s="217">
        <f>SUM(U1746:Y1746)</f>
        <v>0</v>
      </c>
      <c r="AA1746" s="217">
        <f>Z1746+T1746</f>
        <v>4456710000</v>
      </c>
      <c r="AB1746" s="526"/>
      <c r="AC1746" s="526"/>
      <c r="AD1746" s="526"/>
      <c r="AE1746" s="526"/>
      <c r="AF1746" s="526"/>
      <c r="AG1746" s="217">
        <f t="shared" ref="AG1746" si="2028">SUM(AB1746:AF1746)</f>
        <v>0</v>
      </c>
      <c r="AH1746" s="217">
        <f t="shared" ref="AH1746" si="2029">AG1746+AA1746</f>
        <v>4456710000</v>
      </c>
      <c r="AI1746" s="217">
        <v>96950390</v>
      </c>
      <c r="AJ1746" s="764">
        <f>AI1746/AH1746*100</f>
        <v>2.1753802693017943</v>
      </c>
    </row>
    <row r="1747" spans="1:36" ht="14">
      <c r="A1747" s="40"/>
      <c r="B1747" s="40"/>
      <c r="C1747" s="124"/>
      <c r="D1747" s="124"/>
      <c r="E1747" s="124"/>
      <c r="F1747" s="41"/>
      <c r="G1747" s="41"/>
      <c r="H1747" s="125"/>
      <c r="I1747" s="66"/>
      <c r="J1747" s="564"/>
      <c r="K1747" s="525"/>
      <c r="L1747" s="526"/>
      <c r="M1747" s="526"/>
      <c r="N1747" s="526"/>
      <c r="O1747" s="526"/>
      <c r="P1747" s="526"/>
      <c r="Q1747" s="526"/>
      <c r="R1747" s="526"/>
      <c r="S1747" s="526"/>
      <c r="T1747" s="526"/>
      <c r="U1747" s="526"/>
      <c r="V1747" s="526"/>
      <c r="W1747" s="526"/>
      <c r="X1747" s="526"/>
      <c r="Y1747" s="526"/>
      <c r="Z1747" s="526"/>
      <c r="AA1747" s="526"/>
      <c r="AB1747" s="526"/>
      <c r="AC1747" s="526"/>
      <c r="AD1747" s="526"/>
      <c r="AE1747" s="526"/>
      <c r="AF1747" s="526"/>
      <c r="AG1747" s="526"/>
      <c r="AH1747" s="526"/>
      <c r="AI1747" s="526"/>
      <c r="AJ1747" s="779"/>
    </row>
    <row r="1748" spans="1:36" ht="12.5" customHeight="1">
      <c r="A1748" s="40"/>
      <c r="B1748" s="40"/>
      <c r="C1748" s="124"/>
      <c r="D1748" s="124"/>
      <c r="E1748" s="124"/>
      <c r="F1748" s="42"/>
      <c r="G1748" s="42"/>
      <c r="H1748" s="165"/>
      <c r="I1748" s="166" t="s">
        <v>37</v>
      </c>
      <c r="J1748" s="560">
        <f>SUM(J1745:J1746)</f>
        <v>0</v>
      </c>
      <c r="K1748" s="529">
        <f>SUM(K1745:K1746)</f>
        <v>4456710000</v>
      </c>
      <c r="L1748" s="530">
        <f>SUM(L1745:L1746)</f>
        <v>4456710000</v>
      </c>
      <c r="M1748" s="530">
        <f t="shared" ref="M1748:T1748" si="2030">SUM(M1745:M1746)</f>
        <v>0</v>
      </c>
      <c r="N1748" s="530">
        <f t="shared" si="2030"/>
        <v>0</v>
      </c>
      <c r="O1748" s="530">
        <f t="shared" si="2030"/>
        <v>0</v>
      </c>
      <c r="P1748" s="530">
        <f t="shared" si="2030"/>
        <v>0</v>
      </c>
      <c r="Q1748" s="530">
        <f t="shared" si="2030"/>
        <v>0</v>
      </c>
      <c r="R1748" s="530">
        <f t="shared" si="2030"/>
        <v>0</v>
      </c>
      <c r="S1748" s="530">
        <f t="shared" si="2030"/>
        <v>0</v>
      </c>
      <c r="T1748" s="530">
        <f t="shared" si="2030"/>
        <v>4456710000</v>
      </c>
      <c r="U1748" s="530"/>
      <c r="V1748" s="530"/>
      <c r="W1748" s="530"/>
      <c r="X1748" s="530"/>
      <c r="Y1748" s="530"/>
      <c r="Z1748" s="530">
        <f t="shared" ref="Z1748:AA1748" si="2031">SUM(Z1745:Z1746)</f>
        <v>0</v>
      </c>
      <c r="AA1748" s="530">
        <f t="shared" si="2031"/>
        <v>4456710000</v>
      </c>
      <c r="AB1748" s="530"/>
      <c r="AC1748" s="530"/>
      <c r="AD1748" s="530"/>
      <c r="AE1748" s="530"/>
      <c r="AF1748" s="530"/>
      <c r="AG1748" s="530">
        <f t="shared" ref="AG1748:AH1748" si="2032">SUM(AG1745:AG1746)</f>
        <v>0</v>
      </c>
      <c r="AH1748" s="530">
        <f t="shared" si="2032"/>
        <v>4456710000</v>
      </c>
      <c r="AI1748" s="530">
        <f t="shared" ref="AI1748" si="2033">SUM(AI1745:AI1746)</f>
        <v>96950390</v>
      </c>
      <c r="AJ1748" s="776">
        <f>AI1748/AH1748*100</f>
        <v>2.1753802693017943</v>
      </c>
    </row>
    <row r="1749" spans="1:36" ht="12.5" customHeight="1">
      <c r="A1749" s="468"/>
      <c r="B1749" s="468"/>
      <c r="C1749" s="469"/>
      <c r="D1749" s="469"/>
      <c r="E1749" s="469"/>
      <c r="F1749" s="41"/>
      <c r="G1749" s="41"/>
      <c r="H1749" s="63"/>
      <c r="I1749" s="41"/>
      <c r="J1749" s="565"/>
      <c r="K1749" s="566"/>
      <c r="L1749" s="565"/>
      <c r="M1749" s="565"/>
      <c r="N1749" s="565"/>
      <c r="O1749" s="565"/>
      <c r="P1749" s="565"/>
      <c r="Q1749" s="565"/>
      <c r="R1749" s="565"/>
      <c r="S1749" s="565"/>
      <c r="T1749" s="565"/>
      <c r="U1749" s="565"/>
      <c r="V1749" s="565"/>
      <c r="W1749" s="565"/>
      <c r="X1749" s="565"/>
      <c r="Y1749" s="565"/>
      <c r="Z1749" s="565"/>
      <c r="AA1749" s="565"/>
      <c r="AB1749" s="565"/>
      <c r="AC1749" s="565"/>
      <c r="AD1749" s="565"/>
      <c r="AE1749" s="565"/>
      <c r="AF1749" s="565"/>
      <c r="AG1749" s="565"/>
      <c r="AH1749" s="565"/>
      <c r="AI1749" s="565"/>
      <c r="AJ1749" s="786"/>
    </row>
    <row r="1750" spans="1:36" s="422" customFormat="1" ht="12.5" customHeight="1">
      <c r="A1750" s="509"/>
      <c r="B1750" s="670"/>
      <c r="C1750" s="510"/>
      <c r="D1750" s="510"/>
      <c r="E1750" s="510"/>
      <c r="F1750" s="937" t="s">
        <v>200</v>
      </c>
      <c r="G1750" s="937"/>
      <c r="H1750" s="937"/>
      <c r="I1750" s="937"/>
      <c r="J1750" s="511">
        <f t="shared" ref="J1750:P1750" si="2034">J1597+J1742+J1748-J1734</f>
        <v>2619956217</v>
      </c>
      <c r="K1750" s="512">
        <f t="shared" si="2034"/>
        <v>20422702384</v>
      </c>
      <c r="L1750" s="223">
        <f t="shared" si="2034"/>
        <v>23042658601</v>
      </c>
      <c r="M1750" s="223">
        <f t="shared" si="2034"/>
        <v>0</v>
      </c>
      <c r="N1750" s="223">
        <f t="shared" si="2034"/>
        <v>0</v>
      </c>
      <c r="O1750" s="223">
        <f t="shared" si="2034"/>
        <v>0</v>
      </c>
      <c r="P1750" s="223">
        <f t="shared" si="2034"/>
        <v>0</v>
      </c>
      <c r="Q1750" s="223">
        <f>Q1597+Q1742+Q1748</f>
        <v>-19012374</v>
      </c>
      <c r="R1750" s="223">
        <f>R1597+R1742+R1748-R1734</f>
        <v>0</v>
      </c>
      <c r="S1750" s="223">
        <f>S1597+S1742+S1748-S1734</f>
        <v>-19012374</v>
      </c>
      <c r="T1750" s="223">
        <f>T1597+T1742+T1748-T1734</f>
        <v>23023646227</v>
      </c>
      <c r="U1750" s="223"/>
      <c r="V1750" s="223"/>
      <c r="W1750" s="223"/>
      <c r="X1750" s="223">
        <f>X1597+X1742+X1748-X1734</f>
        <v>83834614</v>
      </c>
      <c r="Y1750" s="223"/>
      <c r="Z1750" s="223">
        <f>Z1597+Z1742+Z1748-Z1734</f>
        <v>83834614</v>
      </c>
      <c r="AA1750" s="223">
        <f>AA1597+AA1742+AA1748-AA1734</f>
        <v>23107480841</v>
      </c>
      <c r="AB1750" s="223">
        <f t="shared" ref="AB1750:AH1750" si="2035">AB1597+AB1742+AB1748-AB1734-AB1740</f>
        <v>0</v>
      </c>
      <c r="AC1750" s="223">
        <f t="shared" si="2035"/>
        <v>-5500000000</v>
      </c>
      <c r="AD1750" s="223">
        <f t="shared" si="2035"/>
        <v>-895217606</v>
      </c>
      <c r="AE1750" s="223">
        <f t="shared" si="2035"/>
        <v>35262957</v>
      </c>
      <c r="AF1750" s="223">
        <f t="shared" si="2035"/>
        <v>0</v>
      </c>
      <c r="AG1750" s="223">
        <f t="shared" si="2035"/>
        <v>-6359954649</v>
      </c>
      <c r="AH1750" s="223">
        <f t="shared" si="2035"/>
        <v>16747526192</v>
      </c>
      <c r="AI1750" s="223">
        <f>AI1597+AI1742+AI1748-AI1734-AI1740</f>
        <v>2032292058</v>
      </c>
      <c r="AJ1750" s="778">
        <f>AI1750/AH1750*100</f>
        <v>12.134879114091431</v>
      </c>
    </row>
    <row r="1751" spans="1:36" s="422" customFormat="1" ht="12.5" customHeight="1">
      <c r="A1751" s="513"/>
      <c r="B1751" s="513"/>
      <c r="C1751" s="514"/>
      <c r="D1751" s="514"/>
      <c r="E1751" s="514"/>
      <c r="F1751" s="670"/>
      <c r="G1751" s="670"/>
      <c r="H1751" s="670"/>
      <c r="I1751" s="670"/>
      <c r="J1751" s="567"/>
      <c r="K1751" s="568"/>
      <c r="L1751" s="565"/>
      <c r="M1751" s="565"/>
      <c r="N1751" s="565"/>
      <c r="O1751" s="565"/>
      <c r="P1751" s="565"/>
      <c r="Q1751" s="565"/>
      <c r="R1751" s="565"/>
      <c r="S1751" s="565"/>
      <c r="T1751" s="565"/>
      <c r="U1751" s="565"/>
      <c r="V1751" s="565"/>
      <c r="W1751" s="565"/>
      <c r="X1751" s="565"/>
      <c r="Y1751" s="565"/>
      <c r="Z1751" s="565"/>
      <c r="AA1751" s="565"/>
      <c r="AB1751" s="565"/>
      <c r="AC1751" s="565"/>
      <c r="AD1751" s="565"/>
      <c r="AE1751" s="565"/>
      <c r="AF1751" s="565"/>
      <c r="AG1751" s="565"/>
      <c r="AH1751" s="565"/>
      <c r="AI1751" s="565"/>
      <c r="AJ1751" s="786"/>
    </row>
    <row r="1752" spans="1:36" ht="12.5" customHeight="1">
      <c r="A1752" s="670"/>
      <c r="B1752" s="670"/>
      <c r="C1752" s="510"/>
      <c r="D1752" s="510"/>
      <c r="E1752" s="510"/>
      <c r="F1752" s="937" t="s">
        <v>466</v>
      </c>
      <c r="G1752" s="937"/>
      <c r="H1752" s="937"/>
      <c r="I1752" s="938"/>
      <c r="J1752" s="569">
        <f t="shared" ref="J1752:T1752" si="2036">J1734</f>
        <v>0</v>
      </c>
      <c r="K1752" s="570">
        <f t="shared" si="2036"/>
        <v>927805</v>
      </c>
      <c r="L1752" s="571">
        <f t="shared" si="2036"/>
        <v>927805</v>
      </c>
      <c r="M1752" s="571">
        <f t="shared" si="2036"/>
        <v>0</v>
      </c>
      <c r="N1752" s="571">
        <f t="shared" si="2036"/>
        <v>0</v>
      </c>
      <c r="O1752" s="571">
        <f t="shared" si="2036"/>
        <v>0</v>
      </c>
      <c r="P1752" s="571">
        <f t="shared" si="2036"/>
        <v>0</v>
      </c>
      <c r="Q1752" s="571">
        <f t="shared" si="2036"/>
        <v>0</v>
      </c>
      <c r="R1752" s="571">
        <f t="shared" si="2036"/>
        <v>0</v>
      </c>
      <c r="S1752" s="571">
        <f t="shared" si="2036"/>
        <v>0</v>
      </c>
      <c r="T1752" s="571">
        <f t="shared" si="2036"/>
        <v>927805</v>
      </c>
      <c r="U1752" s="571"/>
      <c r="V1752" s="571"/>
      <c r="W1752" s="571"/>
      <c r="X1752" s="571">
        <f>X1734</f>
        <v>0</v>
      </c>
      <c r="Y1752" s="571"/>
      <c r="Z1752" s="571">
        <f>Z1734</f>
        <v>0</v>
      </c>
      <c r="AA1752" s="571">
        <f>AA1734</f>
        <v>927805</v>
      </c>
      <c r="AB1752" s="571">
        <f t="shared" ref="AB1752:AH1752" si="2037">AB1734+AB1738</f>
        <v>0</v>
      </c>
      <c r="AC1752" s="571">
        <f t="shared" si="2037"/>
        <v>0</v>
      </c>
      <c r="AD1752" s="571">
        <f t="shared" si="2037"/>
        <v>0</v>
      </c>
      <c r="AE1752" s="571">
        <f t="shared" si="2037"/>
        <v>3136900</v>
      </c>
      <c r="AF1752" s="571">
        <f t="shared" si="2037"/>
        <v>0</v>
      </c>
      <c r="AG1752" s="571">
        <f t="shared" si="2037"/>
        <v>3136900</v>
      </c>
      <c r="AH1752" s="571">
        <f t="shared" si="2037"/>
        <v>4064705</v>
      </c>
      <c r="AI1752" s="571">
        <f>AI1734+AI1738</f>
        <v>927805</v>
      </c>
      <c r="AJ1752" s="778">
        <f>AI1752/AH1752*100</f>
        <v>22.825887733550161</v>
      </c>
    </row>
    <row r="1753" spans="1:36" ht="12.5" customHeight="1">
      <c r="A1753" s="513"/>
      <c r="B1753" s="513"/>
      <c r="C1753" s="514"/>
      <c r="D1753" s="514"/>
      <c r="E1753" s="514"/>
      <c r="F1753" s="670"/>
      <c r="G1753" s="670"/>
      <c r="H1753" s="670"/>
      <c r="I1753" s="671"/>
      <c r="J1753" s="572"/>
      <c r="K1753" s="573"/>
      <c r="L1753" s="574"/>
      <c r="M1753" s="574"/>
      <c r="N1753" s="574"/>
      <c r="O1753" s="574"/>
      <c r="P1753" s="574"/>
      <c r="Q1753" s="574"/>
      <c r="R1753" s="574"/>
      <c r="S1753" s="574"/>
      <c r="T1753" s="574"/>
      <c r="U1753" s="574"/>
      <c r="V1753" s="574"/>
      <c r="W1753" s="574"/>
      <c r="X1753" s="574"/>
      <c r="Y1753" s="574"/>
      <c r="Z1753" s="574"/>
      <c r="AA1753" s="574"/>
      <c r="AB1753" s="574"/>
      <c r="AC1753" s="574"/>
      <c r="AD1753" s="574"/>
      <c r="AE1753" s="574"/>
      <c r="AF1753" s="574"/>
      <c r="AG1753" s="574"/>
      <c r="AH1753" s="574"/>
      <c r="AI1753" s="574"/>
      <c r="AJ1753" s="787"/>
    </row>
    <row r="1754" spans="1:36" ht="12.5" customHeight="1">
      <c r="A1754" s="509"/>
      <c r="B1754" s="670"/>
      <c r="C1754" s="510"/>
      <c r="D1754" s="510"/>
      <c r="E1754" s="510"/>
      <c r="F1754" s="937" t="s">
        <v>462</v>
      </c>
      <c r="G1754" s="937"/>
      <c r="H1754" s="937"/>
      <c r="I1754" s="938"/>
      <c r="J1754" s="511">
        <f t="shared" ref="J1754:T1754" si="2038">J1597+J1742+J1748</f>
        <v>2619956217</v>
      </c>
      <c r="K1754" s="512">
        <f t="shared" si="2038"/>
        <v>20423630189</v>
      </c>
      <c r="L1754" s="223">
        <f t="shared" si="2038"/>
        <v>23043586406</v>
      </c>
      <c r="M1754" s="223">
        <f t="shared" si="2038"/>
        <v>0</v>
      </c>
      <c r="N1754" s="223">
        <f t="shared" si="2038"/>
        <v>0</v>
      </c>
      <c r="O1754" s="223">
        <f t="shared" si="2038"/>
        <v>0</v>
      </c>
      <c r="P1754" s="223">
        <f t="shared" si="2038"/>
        <v>0</v>
      </c>
      <c r="Q1754" s="223">
        <f t="shared" si="2038"/>
        <v>-19012374</v>
      </c>
      <c r="R1754" s="223">
        <f t="shared" si="2038"/>
        <v>0</v>
      </c>
      <c r="S1754" s="223">
        <f t="shared" si="2038"/>
        <v>-19012374</v>
      </c>
      <c r="T1754" s="223">
        <f t="shared" si="2038"/>
        <v>23024574032</v>
      </c>
      <c r="U1754" s="223"/>
      <c r="V1754" s="223"/>
      <c r="W1754" s="223"/>
      <c r="X1754" s="223">
        <f>X1597+X1742+X1748</f>
        <v>83834614</v>
      </c>
      <c r="Y1754" s="223"/>
      <c r="Z1754" s="223">
        <f>Z1597+Z1742+Z1748</f>
        <v>83834614</v>
      </c>
      <c r="AA1754" s="223">
        <f>AA1597+AA1742+AA1748</f>
        <v>23108408646</v>
      </c>
      <c r="AB1754" s="223">
        <f t="shared" ref="AB1754:AD1754" si="2039">AB1597+AB1742+AB1748</f>
        <v>0</v>
      </c>
      <c r="AC1754" s="223">
        <f t="shared" si="2039"/>
        <v>-5500000000</v>
      </c>
      <c r="AD1754" s="223">
        <f t="shared" si="2039"/>
        <v>-895217606</v>
      </c>
      <c r="AE1754" s="223">
        <f>AE1597+AE1742+AE1748</f>
        <v>38399857</v>
      </c>
      <c r="AF1754" s="223"/>
      <c r="AG1754" s="223">
        <f>AG1597+AG1742+AG1748</f>
        <v>-6356817749</v>
      </c>
      <c r="AH1754" s="223">
        <f>AH1597+AH1742+AH1748</f>
        <v>16751590897</v>
      </c>
      <c r="AI1754" s="223">
        <f>AI1597+AI1742+AI1748</f>
        <v>2033219863</v>
      </c>
      <c r="AJ1754" s="778">
        <f>AI1754/AH1754*100</f>
        <v>12.137473243595773</v>
      </c>
    </row>
    <row r="1755" spans="1:36" ht="12.5" customHeight="1">
      <c r="A1755" s="40"/>
      <c r="B1755" s="40"/>
      <c r="C1755" s="124"/>
      <c r="D1755" s="124"/>
      <c r="E1755" s="124"/>
      <c r="F1755" s="41"/>
      <c r="G1755" s="41"/>
      <c r="H1755" s="63"/>
      <c r="I1755" s="41"/>
      <c r="J1755" s="680"/>
      <c r="K1755" s="679"/>
      <c r="L1755" s="678"/>
      <c r="M1755" s="678"/>
      <c r="N1755" s="678"/>
      <c r="O1755" s="678"/>
      <c r="P1755" s="678"/>
      <c r="Q1755" s="678"/>
      <c r="R1755" s="678"/>
      <c r="S1755" s="678"/>
      <c r="T1755" s="678"/>
      <c r="U1755" s="678"/>
      <c r="V1755" s="678"/>
      <c r="W1755" s="678"/>
      <c r="X1755" s="678"/>
      <c r="Y1755" s="678"/>
      <c r="Z1755" s="678"/>
      <c r="AA1755" s="678"/>
      <c r="AB1755" s="702"/>
      <c r="AC1755" s="702"/>
      <c r="AD1755" s="702"/>
      <c r="AE1755" s="702"/>
      <c r="AF1755" s="702"/>
      <c r="AG1755" s="702"/>
      <c r="AH1755" s="702"/>
      <c r="AI1755" s="702"/>
      <c r="AJ1755" s="780"/>
    </row>
    <row r="1756" spans="1:36" ht="14">
      <c r="A1756" s="40">
        <v>206</v>
      </c>
      <c r="B1756" s="40"/>
      <c r="C1756" s="124"/>
      <c r="D1756" s="124"/>
      <c r="E1756" s="124"/>
      <c r="F1756" s="41" t="s">
        <v>78</v>
      </c>
      <c r="G1756" s="41"/>
      <c r="H1756" s="163"/>
      <c r="I1756" s="66"/>
      <c r="J1756" s="452"/>
      <c r="K1756" s="453"/>
      <c r="L1756" s="454"/>
      <c r="M1756" s="454"/>
      <c r="N1756" s="454"/>
      <c r="O1756" s="454"/>
      <c r="P1756" s="454"/>
      <c r="Q1756" s="454"/>
      <c r="R1756" s="454"/>
      <c r="S1756" s="454"/>
      <c r="T1756" s="454"/>
      <c r="U1756" s="454"/>
      <c r="V1756" s="454"/>
      <c r="W1756" s="454"/>
      <c r="X1756" s="454"/>
      <c r="Y1756" s="454"/>
      <c r="Z1756" s="454"/>
      <c r="AA1756" s="454"/>
      <c r="AB1756" s="454"/>
      <c r="AC1756" s="454"/>
      <c r="AD1756" s="454"/>
      <c r="AE1756" s="454"/>
      <c r="AF1756" s="454"/>
      <c r="AG1756" s="454"/>
      <c r="AH1756" s="454"/>
      <c r="AI1756" s="454"/>
      <c r="AJ1756" s="769"/>
    </row>
    <row r="1757" spans="1:36" ht="14">
      <c r="A1757" s="40"/>
      <c r="B1757" s="40"/>
      <c r="C1757" s="124">
        <v>2</v>
      </c>
      <c r="D1757" s="124"/>
      <c r="E1757" s="124"/>
      <c r="F1757" s="41"/>
      <c r="G1757" s="41"/>
      <c r="H1757" s="162" t="s">
        <v>211</v>
      </c>
      <c r="I1757" s="125"/>
      <c r="J1757" s="524"/>
      <c r="K1757" s="525"/>
      <c r="L1757" s="526"/>
      <c r="M1757" s="526"/>
      <c r="N1757" s="526"/>
      <c r="O1757" s="526"/>
      <c r="P1757" s="526"/>
      <c r="Q1757" s="526"/>
      <c r="R1757" s="526"/>
      <c r="S1757" s="526"/>
      <c r="T1757" s="526"/>
      <c r="U1757" s="526"/>
      <c r="V1757" s="526"/>
      <c r="W1757" s="526"/>
      <c r="X1757" s="526"/>
      <c r="Y1757" s="526"/>
      <c r="Z1757" s="526"/>
      <c r="AA1757" s="526"/>
      <c r="AB1757" s="526"/>
      <c r="AC1757" s="526"/>
      <c r="AD1757" s="526"/>
      <c r="AE1757" s="526"/>
      <c r="AF1757" s="526"/>
      <c r="AG1757" s="526"/>
      <c r="AH1757" s="526"/>
      <c r="AI1757" s="526"/>
      <c r="AJ1757" s="779"/>
    </row>
    <row r="1758" spans="1:36" ht="14">
      <c r="A1758" s="40"/>
      <c r="B1758" s="40"/>
      <c r="C1758" s="124"/>
      <c r="D1758" s="124">
        <v>6</v>
      </c>
      <c r="E1758" s="124" t="s">
        <v>199</v>
      </c>
      <c r="F1758" s="41"/>
      <c r="G1758" s="41"/>
      <c r="H1758" s="163"/>
      <c r="I1758" s="125" t="s">
        <v>213</v>
      </c>
      <c r="J1758" s="524"/>
      <c r="K1758" s="525">
        <v>10000000</v>
      </c>
      <c r="L1758" s="454">
        <f>SUM(J1758:K1758)</f>
        <v>10000000</v>
      </c>
      <c r="M1758" s="454">
        <v>11460400</v>
      </c>
      <c r="N1758" s="454"/>
      <c r="O1758" s="454"/>
      <c r="P1758" s="454"/>
      <c r="Q1758" s="454"/>
      <c r="R1758" s="454"/>
      <c r="S1758" s="217">
        <f t="shared" ref="S1758:S1759" si="2040">SUM(M1758:R1758)</f>
        <v>11460400</v>
      </c>
      <c r="T1758" s="217">
        <f t="shared" ref="T1758:T1759" si="2041">S1758+L1758</f>
        <v>21460400</v>
      </c>
      <c r="U1758" s="454"/>
      <c r="V1758" s="454"/>
      <c r="W1758" s="454"/>
      <c r="X1758" s="454"/>
      <c r="Y1758" s="454"/>
      <c r="Z1758" s="217">
        <f>SUM(U1758:Y1758)</f>
        <v>0</v>
      </c>
      <c r="AA1758" s="217">
        <f>Z1758+T1758</f>
        <v>21460400</v>
      </c>
      <c r="AB1758" s="454"/>
      <c r="AC1758" s="454"/>
      <c r="AD1758" s="454"/>
      <c r="AE1758" s="454"/>
      <c r="AF1758" s="454"/>
      <c r="AG1758" s="217">
        <f t="shared" ref="AG1758:AG1759" si="2042">SUM(AB1758:AF1758)</f>
        <v>0</v>
      </c>
      <c r="AH1758" s="217">
        <f t="shared" ref="AH1758:AH1759" si="2043">AG1758+AA1758</f>
        <v>21460400</v>
      </c>
      <c r="AI1758" s="217">
        <v>5867400</v>
      </c>
      <c r="AJ1758" s="764">
        <f>AI1758/AH1758*100</f>
        <v>27.340590110156381</v>
      </c>
    </row>
    <row r="1759" spans="1:36" ht="14">
      <c r="A1759" s="40"/>
      <c r="B1759" s="40"/>
      <c r="C1759" s="124"/>
      <c r="D1759" s="124">
        <v>6</v>
      </c>
      <c r="E1759" s="124" t="s">
        <v>198</v>
      </c>
      <c r="F1759" s="41"/>
      <c r="G1759" s="41"/>
      <c r="H1759" s="163"/>
      <c r="I1759" s="125" t="s">
        <v>213</v>
      </c>
      <c r="J1759" s="524"/>
      <c r="K1759" s="525"/>
      <c r="L1759" s="454"/>
      <c r="M1759" s="454">
        <v>581800</v>
      </c>
      <c r="N1759" s="454"/>
      <c r="O1759" s="454"/>
      <c r="P1759" s="454"/>
      <c r="Q1759" s="454"/>
      <c r="R1759" s="454"/>
      <c r="S1759" s="217">
        <f t="shared" si="2040"/>
        <v>581800</v>
      </c>
      <c r="T1759" s="217">
        <f t="shared" si="2041"/>
        <v>581800</v>
      </c>
      <c r="U1759" s="454"/>
      <c r="V1759" s="454"/>
      <c r="W1759" s="454"/>
      <c r="X1759" s="454"/>
      <c r="Y1759" s="454"/>
      <c r="Z1759" s="217">
        <f>SUM(U1759:Y1759)</f>
        <v>0</v>
      </c>
      <c r="AA1759" s="217">
        <f>Z1759+T1759</f>
        <v>581800</v>
      </c>
      <c r="AB1759" s="454"/>
      <c r="AC1759" s="454"/>
      <c r="AD1759" s="454"/>
      <c r="AE1759" s="454"/>
      <c r="AF1759" s="454"/>
      <c r="AG1759" s="217">
        <f t="shared" si="2042"/>
        <v>0</v>
      </c>
      <c r="AH1759" s="217">
        <f t="shared" si="2043"/>
        <v>581800</v>
      </c>
      <c r="AI1759" s="217"/>
      <c r="AJ1759" s="764"/>
    </row>
    <row r="1760" spans="1:36" ht="14">
      <c r="A1760" s="40"/>
      <c r="B1760" s="40"/>
      <c r="C1760" s="124"/>
      <c r="D1760" s="124"/>
      <c r="E1760" s="124"/>
      <c r="F1760" s="41"/>
      <c r="G1760" s="41"/>
      <c r="H1760" s="163"/>
      <c r="I1760" s="125"/>
      <c r="J1760" s="524"/>
      <c r="K1760" s="525"/>
      <c r="L1760" s="526"/>
      <c r="M1760" s="526"/>
      <c r="N1760" s="526"/>
      <c r="O1760" s="526"/>
      <c r="P1760" s="526"/>
      <c r="Q1760" s="526"/>
      <c r="R1760" s="526"/>
      <c r="S1760" s="526"/>
      <c r="T1760" s="526"/>
      <c r="U1760" s="526"/>
      <c r="V1760" s="526"/>
      <c r="W1760" s="526"/>
      <c r="X1760" s="526"/>
      <c r="Y1760" s="526"/>
      <c r="Z1760" s="526"/>
      <c r="AA1760" s="526"/>
      <c r="AB1760" s="526"/>
      <c r="AC1760" s="526"/>
      <c r="AD1760" s="526"/>
      <c r="AE1760" s="526"/>
      <c r="AF1760" s="526"/>
      <c r="AG1760" s="526"/>
      <c r="AH1760" s="526"/>
      <c r="AI1760" s="526"/>
      <c r="AJ1760" s="779"/>
    </row>
    <row r="1761" spans="1:36" ht="14">
      <c r="A1761" s="40"/>
      <c r="B1761" s="40"/>
      <c r="C1761" s="124"/>
      <c r="D1761" s="124"/>
      <c r="E1761" s="124"/>
      <c r="F1761" s="42"/>
      <c r="G1761" s="42"/>
      <c r="H1761" s="165"/>
      <c r="I1761" s="166" t="s">
        <v>37</v>
      </c>
      <c r="J1761" s="528"/>
      <c r="K1761" s="529">
        <f>SUM(K1758:K1758)</f>
        <v>10000000</v>
      </c>
      <c r="L1761" s="530">
        <f>SUM(L1758:L1758)</f>
        <v>10000000</v>
      </c>
      <c r="M1761" s="530">
        <f>SUM(M1758:M1760)</f>
        <v>12042200</v>
      </c>
      <c r="N1761" s="530">
        <f t="shared" ref="N1761:T1761" si="2044">SUM(N1758:N1760)</f>
        <v>0</v>
      </c>
      <c r="O1761" s="530">
        <f t="shared" si="2044"/>
        <v>0</v>
      </c>
      <c r="P1761" s="530">
        <f t="shared" si="2044"/>
        <v>0</v>
      </c>
      <c r="Q1761" s="530">
        <f t="shared" si="2044"/>
        <v>0</v>
      </c>
      <c r="R1761" s="530">
        <f t="shared" si="2044"/>
        <v>0</v>
      </c>
      <c r="S1761" s="530">
        <f t="shared" si="2044"/>
        <v>12042200</v>
      </c>
      <c r="T1761" s="530">
        <f t="shared" si="2044"/>
        <v>22042200</v>
      </c>
      <c r="U1761" s="530"/>
      <c r="V1761" s="530"/>
      <c r="W1761" s="530"/>
      <c r="X1761" s="530"/>
      <c r="Y1761" s="530"/>
      <c r="Z1761" s="530">
        <f t="shared" ref="Z1761:AA1761" si="2045">SUM(Z1758:Z1760)</f>
        <v>0</v>
      </c>
      <c r="AA1761" s="530">
        <f t="shared" si="2045"/>
        <v>22042200</v>
      </c>
      <c r="AB1761" s="530"/>
      <c r="AC1761" s="530"/>
      <c r="AD1761" s="530"/>
      <c r="AE1761" s="530"/>
      <c r="AF1761" s="530"/>
      <c r="AG1761" s="530">
        <f t="shared" ref="AG1761:AI1761" si="2046">SUM(AG1758:AG1760)</f>
        <v>0</v>
      </c>
      <c r="AH1761" s="530">
        <f t="shared" si="2046"/>
        <v>22042200</v>
      </c>
      <c r="AI1761" s="530">
        <f t="shared" si="2046"/>
        <v>5867400</v>
      </c>
      <c r="AJ1761" s="776">
        <f>AI1761/AH1761*100</f>
        <v>26.618940033209025</v>
      </c>
    </row>
    <row r="1762" spans="1:36" ht="14">
      <c r="A1762" s="40"/>
      <c r="B1762" s="40"/>
      <c r="C1762" s="124"/>
      <c r="D1762" s="124"/>
      <c r="E1762" s="124"/>
      <c r="F1762" s="41"/>
      <c r="G1762" s="41"/>
      <c r="H1762" s="63"/>
      <c r="I1762" s="41"/>
      <c r="J1762" s="680"/>
      <c r="K1762" s="679"/>
      <c r="L1762" s="678"/>
      <c r="M1762" s="678"/>
      <c r="N1762" s="678"/>
      <c r="O1762" s="678"/>
      <c r="P1762" s="678"/>
      <c r="Q1762" s="678"/>
      <c r="R1762" s="678"/>
      <c r="S1762" s="678"/>
      <c r="T1762" s="678"/>
      <c r="U1762" s="678"/>
      <c r="V1762" s="678"/>
      <c r="W1762" s="678"/>
      <c r="X1762" s="678"/>
      <c r="Y1762" s="678"/>
      <c r="Z1762" s="678"/>
      <c r="AA1762" s="678"/>
      <c r="AB1762" s="702"/>
      <c r="AC1762" s="702"/>
      <c r="AD1762" s="702"/>
      <c r="AE1762" s="702"/>
      <c r="AF1762" s="702"/>
      <c r="AG1762" s="702"/>
      <c r="AH1762" s="702"/>
      <c r="AI1762" s="702"/>
      <c r="AJ1762" s="780"/>
    </row>
    <row r="1763" spans="1:36" ht="14">
      <c r="A1763" s="40">
        <v>207</v>
      </c>
      <c r="B1763" s="40"/>
      <c r="C1763" s="124"/>
      <c r="D1763" s="124"/>
      <c r="E1763" s="124"/>
      <c r="F1763" s="41" t="s">
        <v>463</v>
      </c>
      <c r="G1763" s="41"/>
      <c r="H1763" s="163"/>
      <c r="I1763" s="66"/>
      <c r="J1763" s="452"/>
      <c r="K1763" s="453"/>
      <c r="L1763" s="454"/>
      <c r="M1763" s="454"/>
      <c r="N1763" s="454"/>
      <c r="O1763" s="454"/>
      <c r="P1763" s="454"/>
      <c r="Q1763" s="454"/>
      <c r="R1763" s="454"/>
      <c r="S1763" s="454"/>
      <c r="T1763" s="454"/>
      <c r="U1763" s="454"/>
      <c r="V1763" s="454"/>
      <c r="W1763" s="454"/>
      <c r="X1763" s="454"/>
      <c r="Y1763" s="454"/>
      <c r="Z1763" s="454"/>
      <c r="AA1763" s="454"/>
      <c r="AB1763" s="454"/>
      <c r="AC1763" s="454"/>
      <c r="AD1763" s="454"/>
      <c r="AE1763" s="454"/>
      <c r="AF1763" s="454"/>
      <c r="AG1763" s="454"/>
      <c r="AH1763" s="454"/>
      <c r="AI1763" s="454"/>
      <c r="AJ1763" s="769"/>
    </row>
    <row r="1764" spans="1:36" ht="14">
      <c r="A1764" s="40"/>
      <c r="B1764" s="40"/>
      <c r="C1764" s="124">
        <v>2</v>
      </c>
      <c r="D1764" s="124"/>
      <c r="E1764" s="124"/>
      <c r="F1764" s="41"/>
      <c r="G1764" s="41"/>
      <c r="H1764" s="162" t="s">
        <v>211</v>
      </c>
      <c r="I1764" s="125"/>
      <c r="J1764" s="524"/>
      <c r="K1764" s="525"/>
      <c r="L1764" s="454"/>
      <c r="M1764" s="454"/>
      <c r="N1764" s="454"/>
      <c r="O1764" s="454"/>
      <c r="P1764" s="454"/>
      <c r="Q1764" s="454"/>
      <c r="R1764" s="454"/>
      <c r="S1764" s="454"/>
      <c r="T1764" s="454"/>
      <c r="U1764" s="454"/>
      <c r="V1764" s="454"/>
      <c r="W1764" s="454"/>
      <c r="X1764" s="454"/>
      <c r="Y1764" s="454"/>
      <c r="Z1764" s="454"/>
      <c r="AA1764" s="454"/>
      <c r="AB1764" s="454"/>
      <c r="AC1764" s="454"/>
      <c r="AD1764" s="454"/>
      <c r="AE1764" s="454"/>
      <c r="AF1764" s="454"/>
      <c r="AG1764" s="454"/>
      <c r="AH1764" s="454"/>
      <c r="AI1764" s="454"/>
      <c r="AJ1764" s="769"/>
    </row>
    <row r="1765" spans="1:36" ht="15.5" customHeight="1">
      <c r="A1765" s="40"/>
      <c r="B1765" s="40"/>
      <c r="C1765" s="124"/>
      <c r="D1765" s="124">
        <v>6</v>
      </c>
      <c r="E1765" s="124" t="s">
        <v>199</v>
      </c>
      <c r="F1765" s="41"/>
      <c r="G1765" s="41"/>
      <c r="H1765" s="163"/>
      <c r="I1765" s="125" t="s">
        <v>213</v>
      </c>
      <c r="J1765" s="524"/>
      <c r="K1765" s="525">
        <v>5000000</v>
      </c>
      <c r="L1765" s="454">
        <f>SUM(J1765:K1765)</f>
        <v>5000000</v>
      </c>
      <c r="M1765" s="454">
        <v>19094619</v>
      </c>
      <c r="N1765" s="454"/>
      <c r="O1765" s="454"/>
      <c r="P1765" s="454"/>
      <c r="Q1765" s="454"/>
      <c r="R1765" s="454"/>
      <c r="S1765" s="217">
        <f t="shared" ref="S1765" si="2047">SUM(M1765:R1765)</f>
        <v>19094619</v>
      </c>
      <c r="T1765" s="217">
        <f t="shared" ref="T1765" si="2048">S1765+L1765</f>
        <v>24094619</v>
      </c>
      <c r="U1765" s="454"/>
      <c r="V1765" s="454"/>
      <c r="W1765" s="454"/>
      <c r="X1765" s="454"/>
      <c r="Y1765" s="454"/>
      <c r="Z1765" s="217">
        <f>SUM(U1765:Y1765)</f>
        <v>0</v>
      </c>
      <c r="AA1765" s="217">
        <f>Z1765+T1765</f>
        <v>24094619</v>
      </c>
      <c r="AB1765" s="454"/>
      <c r="AC1765" s="454"/>
      <c r="AD1765" s="454"/>
      <c r="AE1765" s="454">
        <v>1691470</v>
      </c>
      <c r="AF1765" s="454"/>
      <c r="AG1765" s="217">
        <f t="shared" ref="AG1765" si="2049">SUM(AB1765:AF1765)</f>
        <v>1691470</v>
      </c>
      <c r="AH1765" s="217">
        <f t="shared" ref="AH1765" si="2050">AG1765+AA1765</f>
        <v>25786089</v>
      </c>
      <c r="AI1765" s="217">
        <v>9214270</v>
      </c>
      <c r="AJ1765" s="764">
        <f>AI1765/AH1765*100</f>
        <v>35.733491806376691</v>
      </c>
    </row>
    <row r="1766" spans="1:36" ht="15.5" customHeight="1">
      <c r="A1766" s="40"/>
      <c r="B1766" s="40"/>
      <c r="C1766" s="124"/>
      <c r="D1766" s="124"/>
      <c r="E1766" s="124"/>
      <c r="F1766" s="41"/>
      <c r="G1766" s="41"/>
      <c r="H1766" s="163"/>
      <c r="I1766" s="125"/>
      <c r="J1766" s="524"/>
      <c r="K1766" s="525"/>
      <c r="L1766" s="526"/>
      <c r="M1766" s="526"/>
      <c r="N1766" s="526"/>
      <c r="O1766" s="526"/>
      <c r="P1766" s="526"/>
      <c r="Q1766" s="526"/>
      <c r="R1766" s="526"/>
      <c r="S1766" s="526"/>
      <c r="T1766" s="526"/>
      <c r="U1766" s="526"/>
      <c r="V1766" s="526"/>
      <c r="W1766" s="526"/>
      <c r="X1766" s="526"/>
      <c r="Y1766" s="526"/>
      <c r="Z1766" s="526"/>
      <c r="AA1766" s="526"/>
      <c r="AB1766" s="526"/>
      <c r="AC1766" s="526"/>
      <c r="AD1766" s="526"/>
      <c r="AE1766" s="526"/>
      <c r="AF1766" s="526"/>
      <c r="AG1766" s="526"/>
      <c r="AH1766" s="526"/>
      <c r="AI1766" s="526"/>
      <c r="AJ1766" s="779"/>
    </row>
    <row r="1767" spans="1:36" ht="15.5" customHeight="1">
      <c r="A1767" s="40"/>
      <c r="B1767" s="40"/>
      <c r="C1767" s="124"/>
      <c r="D1767" s="124"/>
      <c r="E1767" s="124"/>
      <c r="F1767" s="42"/>
      <c r="G1767" s="42"/>
      <c r="H1767" s="165"/>
      <c r="I1767" s="166" t="s">
        <v>37</v>
      </c>
      <c r="J1767" s="528"/>
      <c r="K1767" s="529">
        <f>SUM(K1763:K1766)</f>
        <v>5000000</v>
      </c>
      <c r="L1767" s="530">
        <f>SUM(L1763:L1766)</f>
        <v>5000000</v>
      </c>
      <c r="M1767" s="530">
        <f t="shared" ref="M1767:T1767" si="2051">SUM(M1763:M1766)</f>
        <v>19094619</v>
      </c>
      <c r="N1767" s="530">
        <f t="shared" si="2051"/>
        <v>0</v>
      </c>
      <c r="O1767" s="530">
        <f t="shared" si="2051"/>
        <v>0</v>
      </c>
      <c r="P1767" s="530">
        <f t="shared" si="2051"/>
        <v>0</v>
      </c>
      <c r="Q1767" s="530">
        <f t="shared" si="2051"/>
        <v>0</v>
      </c>
      <c r="R1767" s="530">
        <f t="shared" si="2051"/>
        <v>0</v>
      </c>
      <c r="S1767" s="530">
        <f t="shared" si="2051"/>
        <v>19094619</v>
      </c>
      <c r="T1767" s="530">
        <f t="shared" si="2051"/>
        <v>24094619</v>
      </c>
      <c r="U1767" s="530"/>
      <c r="V1767" s="530"/>
      <c r="W1767" s="530"/>
      <c r="X1767" s="530"/>
      <c r="Y1767" s="530"/>
      <c r="Z1767" s="530">
        <f t="shared" ref="Z1767:AA1767" si="2052">SUM(Z1763:Z1766)</f>
        <v>0</v>
      </c>
      <c r="AA1767" s="530">
        <f t="shared" si="2052"/>
        <v>24094619</v>
      </c>
      <c r="AB1767" s="530"/>
      <c r="AC1767" s="530"/>
      <c r="AD1767" s="530"/>
      <c r="AE1767" s="530">
        <f t="shared" ref="AE1767:AI1767" si="2053">SUM(AE1763:AE1766)</f>
        <v>1691470</v>
      </c>
      <c r="AF1767" s="530"/>
      <c r="AG1767" s="530">
        <f t="shared" si="2053"/>
        <v>1691470</v>
      </c>
      <c r="AH1767" s="530">
        <f t="shared" si="2053"/>
        <v>25786089</v>
      </c>
      <c r="AI1767" s="530">
        <f t="shared" si="2053"/>
        <v>9214270</v>
      </c>
      <c r="AJ1767" s="776">
        <f>AI1767/AH1767*100</f>
        <v>35.733491806376691</v>
      </c>
    </row>
    <row r="1768" spans="1:36" ht="15.5" customHeight="1">
      <c r="A1768" s="40"/>
      <c r="B1768" s="40"/>
      <c r="C1768" s="124"/>
      <c r="D1768" s="124"/>
      <c r="E1768" s="124"/>
      <c r="F1768" s="41"/>
      <c r="G1768" s="41"/>
      <c r="H1768" s="63"/>
      <c r="I1768" s="41"/>
      <c r="J1768" s="680"/>
      <c r="K1768" s="679"/>
      <c r="L1768" s="678"/>
      <c r="M1768" s="678"/>
      <c r="N1768" s="678"/>
      <c r="O1768" s="678"/>
      <c r="P1768" s="678"/>
      <c r="Q1768" s="678"/>
      <c r="R1768" s="678"/>
      <c r="S1768" s="678"/>
      <c r="T1768" s="678"/>
      <c r="U1768" s="678"/>
      <c r="V1768" s="678"/>
      <c r="W1768" s="678"/>
      <c r="X1768" s="678"/>
      <c r="Y1768" s="678"/>
      <c r="Z1768" s="678"/>
      <c r="AA1768" s="678"/>
      <c r="AB1768" s="702"/>
      <c r="AC1768" s="702"/>
      <c r="AD1768" s="702"/>
      <c r="AE1768" s="702"/>
      <c r="AF1768" s="702"/>
      <c r="AG1768" s="702"/>
      <c r="AH1768" s="702"/>
      <c r="AI1768" s="702"/>
      <c r="AJ1768" s="780"/>
    </row>
    <row r="1769" spans="1:36" ht="15.5" customHeight="1">
      <c r="A1769" s="40">
        <v>208</v>
      </c>
      <c r="B1769" s="40"/>
      <c r="C1769" s="124"/>
      <c r="D1769" s="124"/>
      <c r="E1769" s="124"/>
      <c r="F1769" s="942" t="s">
        <v>419</v>
      </c>
      <c r="G1769" s="935"/>
      <c r="H1769" s="935"/>
      <c r="I1769" s="936"/>
      <c r="J1769" s="452"/>
      <c r="K1769" s="453"/>
      <c r="L1769" s="454"/>
      <c r="M1769" s="454"/>
      <c r="N1769" s="454"/>
      <c r="O1769" s="454"/>
      <c r="P1769" s="454"/>
      <c r="Q1769" s="454"/>
      <c r="R1769" s="454"/>
      <c r="S1769" s="454"/>
      <c r="T1769" s="454"/>
      <c r="U1769" s="454"/>
      <c r="V1769" s="454"/>
      <c r="W1769" s="454"/>
      <c r="X1769" s="454"/>
      <c r="Y1769" s="454"/>
      <c r="Z1769" s="454"/>
      <c r="AA1769" s="454"/>
      <c r="AB1769" s="454"/>
      <c r="AC1769" s="454"/>
      <c r="AD1769" s="454"/>
      <c r="AE1769" s="454"/>
      <c r="AF1769" s="454"/>
      <c r="AG1769" s="454"/>
      <c r="AH1769" s="454"/>
      <c r="AI1769" s="454"/>
      <c r="AJ1769" s="769"/>
    </row>
    <row r="1770" spans="1:36" ht="15.5" customHeight="1">
      <c r="A1770" s="160"/>
      <c r="B1770" s="160">
        <v>1</v>
      </c>
      <c r="C1770" s="160"/>
      <c r="D1770" s="160"/>
      <c r="E1770" s="160"/>
      <c r="F1770" s="669"/>
      <c r="G1770" s="939" t="s">
        <v>525</v>
      </c>
      <c r="H1770" s="939"/>
      <c r="I1770" s="956"/>
      <c r="J1770" s="454"/>
      <c r="K1770" s="453"/>
      <c r="L1770" s="454"/>
      <c r="M1770" s="454"/>
      <c r="N1770" s="454"/>
      <c r="O1770" s="454"/>
      <c r="P1770" s="454"/>
      <c r="Q1770" s="454"/>
      <c r="R1770" s="454"/>
      <c r="S1770" s="454"/>
      <c r="T1770" s="454"/>
      <c r="U1770" s="454"/>
      <c r="V1770" s="454"/>
      <c r="W1770" s="454"/>
      <c r="X1770" s="454"/>
      <c r="Y1770" s="454"/>
      <c r="Z1770" s="454"/>
      <c r="AA1770" s="454"/>
      <c r="AB1770" s="454"/>
      <c r="AC1770" s="454"/>
      <c r="AD1770" s="454"/>
      <c r="AE1770" s="454"/>
      <c r="AF1770" s="454"/>
      <c r="AG1770" s="454"/>
      <c r="AH1770" s="454"/>
      <c r="AI1770" s="454"/>
      <c r="AJ1770" s="769"/>
    </row>
    <row r="1771" spans="1:36" ht="15.5" customHeight="1">
      <c r="A1771" s="160"/>
      <c r="B1771" s="160"/>
      <c r="C1771" s="161">
        <v>2</v>
      </c>
      <c r="D1771" s="161"/>
      <c r="E1771" s="161"/>
      <c r="F1771" s="41"/>
      <c r="G1771" s="41"/>
      <c r="H1771" s="162" t="s">
        <v>211</v>
      </c>
      <c r="I1771" s="125"/>
      <c r="J1771" s="454"/>
      <c r="K1771" s="453"/>
      <c r="L1771" s="454"/>
      <c r="M1771" s="454"/>
      <c r="N1771" s="454"/>
      <c r="O1771" s="454"/>
      <c r="P1771" s="454"/>
      <c r="Q1771" s="454"/>
      <c r="R1771" s="454"/>
      <c r="S1771" s="454"/>
      <c r="T1771" s="454"/>
      <c r="U1771" s="454"/>
      <c r="V1771" s="454"/>
      <c r="W1771" s="454"/>
      <c r="X1771" s="454"/>
      <c r="Y1771" s="454"/>
      <c r="Z1771" s="454"/>
      <c r="AA1771" s="454"/>
      <c r="AB1771" s="454"/>
      <c r="AC1771" s="454"/>
      <c r="AD1771" s="454"/>
      <c r="AE1771" s="454"/>
      <c r="AF1771" s="454"/>
      <c r="AG1771" s="454"/>
      <c r="AH1771" s="454"/>
      <c r="AI1771" s="454"/>
      <c r="AJ1771" s="769"/>
    </row>
    <row r="1772" spans="1:36" ht="15.5" customHeight="1">
      <c r="A1772" s="160"/>
      <c r="B1772" s="160"/>
      <c r="C1772" s="161"/>
      <c r="D1772" s="161">
        <v>6</v>
      </c>
      <c r="E1772" s="161" t="s">
        <v>199</v>
      </c>
      <c r="F1772" s="41"/>
      <c r="G1772" s="41"/>
      <c r="H1772" s="163"/>
      <c r="I1772" s="125" t="s">
        <v>213</v>
      </c>
      <c r="J1772" s="454"/>
      <c r="K1772" s="453">
        <v>12700000</v>
      </c>
      <c r="L1772" s="454">
        <f>SUM(J1772:K1772)</f>
        <v>12700000</v>
      </c>
      <c r="M1772" s="454">
        <v>25599556</v>
      </c>
      <c r="N1772" s="454"/>
      <c r="O1772" s="454"/>
      <c r="P1772" s="454"/>
      <c r="Q1772" s="454"/>
      <c r="R1772" s="454"/>
      <c r="S1772" s="217">
        <f t="shared" ref="S1772" si="2054">SUM(M1772:R1772)</f>
        <v>25599556</v>
      </c>
      <c r="T1772" s="217">
        <f t="shared" ref="T1772" si="2055">S1772+L1772</f>
        <v>38299556</v>
      </c>
      <c r="U1772" s="454"/>
      <c r="V1772" s="454"/>
      <c r="W1772" s="454"/>
      <c r="X1772" s="454"/>
      <c r="Y1772" s="454"/>
      <c r="Z1772" s="217">
        <f>SUM(U1772:Y1772)</f>
        <v>0</v>
      </c>
      <c r="AA1772" s="217">
        <f>Z1772+T1772</f>
        <v>38299556</v>
      </c>
      <c r="AB1772" s="454"/>
      <c r="AC1772" s="454"/>
      <c r="AD1772" s="454"/>
      <c r="AE1772" s="454"/>
      <c r="AF1772" s="454"/>
      <c r="AG1772" s="217">
        <f t="shared" ref="AG1772" si="2056">SUM(AB1772:AF1772)</f>
        <v>0</v>
      </c>
      <c r="AH1772" s="217">
        <f t="shared" ref="AH1772" si="2057">AG1772+AA1772</f>
        <v>38299556</v>
      </c>
      <c r="AI1772" s="217">
        <v>2468921</v>
      </c>
      <c r="AJ1772" s="764">
        <f>AI1772/AH1772*100</f>
        <v>6.4463436599630555</v>
      </c>
    </row>
    <row r="1773" spans="1:36" ht="14">
      <c r="A1773" s="160"/>
      <c r="B1773" s="160"/>
      <c r="C1773" s="161"/>
      <c r="D1773" s="161"/>
      <c r="E1773" s="161"/>
      <c r="F1773" s="669"/>
      <c r="G1773" s="669"/>
      <c r="H1773" s="669"/>
      <c r="I1773" s="669"/>
      <c r="J1773" s="454"/>
      <c r="K1773" s="453"/>
      <c r="L1773" s="454"/>
      <c r="M1773" s="454"/>
      <c r="N1773" s="454"/>
      <c r="O1773" s="454"/>
      <c r="P1773" s="454"/>
      <c r="Q1773" s="454"/>
      <c r="R1773" s="454"/>
      <c r="S1773" s="454"/>
      <c r="T1773" s="454"/>
      <c r="U1773" s="454"/>
      <c r="V1773" s="454"/>
      <c r="W1773" s="454"/>
      <c r="X1773" s="454"/>
      <c r="Y1773" s="454"/>
      <c r="Z1773" s="454"/>
      <c r="AA1773" s="454"/>
      <c r="AB1773" s="454"/>
      <c r="AC1773" s="454"/>
      <c r="AD1773" s="454"/>
      <c r="AE1773" s="454"/>
      <c r="AF1773" s="454"/>
      <c r="AG1773" s="454"/>
      <c r="AH1773" s="454"/>
      <c r="AI1773" s="454"/>
      <c r="AJ1773" s="769"/>
    </row>
    <row r="1774" spans="1:36" ht="14">
      <c r="A1774" s="160"/>
      <c r="B1774" s="160"/>
      <c r="C1774" s="161"/>
      <c r="D1774" s="161"/>
      <c r="E1774" s="161"/>
      <c r="F1774" s="64"/>
      <c r="G1774" s="64"/>
      <c r="H1774" s="65"/>
      <c r="I1774" s="164" t="s">
        <v>38</v>
      </c>
      <c r="J1774" s="169">
        <f t="shared" ref="J1774:K1774" si="2058">SUM(J1772:J1773)</f>
        <v>0</v>
      </c>
      <c r="K1774" s="211">
        <f t="shared" si="2058"/>
        <v>12700000</v>
      </c>
      <c r="L1774" s="221">
        <f>SUM(L1772:L1773)</f>
        <v>12700000</v>
      </c>
      <c r="M1774" s="221">
        <f t="shared" ref="M1774:T1774" si="2059">SUM(M1772:M1773)</f>
        <v>25599556</v>
      </c>
      <c r="N1774" s="221">
        <f t="shared" si="2059"/>
        <v>0</v>
      </c>
      <c r="O1774" s="221">
        <f t="shared" si="2059"/>
        <v>0</v>
      </c>
      <c r="P1774" s="221">
        <f t="shared" si="2059"/>
        <v>0</v>
      </c>
      <c r="Q1774" s="221">
        <f t="shared" si="2059"/>
        <v>0</v>
      </c>
      <c r="R1774" s="221">
        <f t="shared" si="2059"/>
        <v>0</v>
      </c>
      <c r="S1774" s="221">
        <f t="shared" si="2059"/>
        <v>25599556</v>
      </c>
      <c r="T1774" s="221">
        <f t="shared" si="2059"/>
        <v>38299556</v>
      </c>
      <c r="U1774" s="221"/>
      <c r="V1774" s="221"/>
      <c r="W1774" s="221"/>
      <c r="X1774" s="221"/>
      <c r="Y1774" s="221"/>
      <c r="Z1774" s="221">
        <f t="shared" ref="Z1774:AA1774" si="2060">SUM(Z1772:Z1773)</f>
        <v>0</v>
      </c>
      <c r="AA1774" s="221">
        <f t="shared" si="2060"/>
        <v>38299556</v>
      </c>
      <c r="AB1774" s="221"/>
      <c r="AC1774" s="221"/>
      <c r="AD1774" s="221"/>
      <c r="AE1774" s="221"/>
      <c r="AF1774" s="221"/>
      <c r="AG1774" s="221">
        <f t="shared" ref="AG1774:AI1774" si="2061">SUM(AG1772:AG1773)</f>
        <v>0</v>
      </c>
      <c r="AH1774" s="221">
        <f t="shared" si="2061"/>
        <v>38299556</v>
      </c>
      <c r="AI1774" s="221">
        <f t="shared" si="2061"/>
        <v>2468921</v>
      </c>
      <c r="AJ1774" s="788">
        <f>AI1774/AH1774*100</f>
        <v>6.4463436599630555</v>
      </c>
    </row>
    <row r="1775" spans="1:36" ht="14">
      <c r="A1775" s="160"/>
      <c r="B1775" s="160"/>
      <c r="C1775" s="161"/>
      <c r="D1775" s="161"/>
      <c r="E1775" s="161"/>
      <c r="F1775" s="669"/>
      <c r="G1775" s="669"/>
      <c r="H1775" s="669"/>
      <c r="I1775" s="669"/>
      <c r="J1775" s="454"/>
      <c r="K1775" s="453"/>
      <c r="L1775" s="454"/>
      <c r="M1775" s="454"/>
      <c r="N1775" s="454"/>
      <c r="O1775" s="454"/>
      <c r="P1775" s="454"/>
      <c r="Q1775" s="454"/>
      <c r="R1775" s="454"/>
      <c r="S1775" s="454"/>
      <c r="T1775" s="454"/>
      <c r="U1775" s="454"/>
      <c r="V1775" s="454"/>
      <c r="W1775" s="454"/>
      <c r="X1775" s="454"/>
      <c r="Y1775" s="454"/>
      <c r="Z1775" s="454"/>
      <c r="AA1775" s="454"/>
      <c r="AB1775" s="454"/>
      <c r="AC1775" s="454"/>
      <c r="AD1775" s="454"/>
      <c r="AE1775" s="454"/>
      <c r="AF1775" s="454"/>
      <c r="AG1775" s="454"/>
      <c r="AH1775" s="454"/>
      <c r="AI1775" s="454"/>
      <c r="AJ1775" s="769"/>
    </row>
    <row r="1776" spans="1:36" ht="14">
      <c r="A1776" s="160"/>
      <c r="B1776" s="160">
        <v>2</v>
      </c>
      <c r="C1776" s="161"/>
      <c r="D1776" s="161"/>
      <c r="E1776" s="161"/>
      <c r="G1776" s="935" t="s">
        <v>526</v>
      </c>
      <c r="H1776" s="935"/>
      <c r="I1776" s="936"/>
      <c r="J1776" s="454"/>
      <c r="K1776" s="453"/>
      <c r="L1776" s="454"/>
      <c r="M1776" s="454"/>
      <c r="N1776" s="454"/>
      <c r="O1776" s="454"/>
      <c r="P1776" s="454"/>
      <c r="Q1776" s="454"/>
      <c r="R1776" s="454"/>
      <c r="S1776" s="454"/>
      <c r="T1776" s="454"/>
      <c r="U1776" s="454"/>
      <c r="V1776" s="454"/>
      <c r="W1776" s="454"/>
      <c r="X1776" s="454"/>
      <c r="Y1776" s="454"/>
      <c r="Z1776" s="454"/>
      <c r="AA1776" s="454"/>
      <c r="AB1776" s="454"/>
      <c r="AC1776" s="454"/>
      <c r="AD1776" s="454"/>
      <c r="AE1776" s="454"/>
      <c r="AF1776" s="454"/>
      <c r="AG1776" s="454"/>
      <c r="AH1776" s="454"/>
      <c r="AI1776" s="454"/>
      <c r="AJ1776" s="769"/>
    </row>
    <row r="1777" spans="1:36" ht="14">
      <c r="A1777" s="160"/>
      <c r="B1777" s="160"/>
      <c r="C1777" s="161">
        <v>2</v>
      </c>
      <c r="D1777" s="161"/>
      <c r="E1777" s="161"/>
      <c r="F1777" s="41"/>
      <c r="G1777" s="41"/>
      <c r="H1777" s="162" t="s">
        <v>211</v>
      </c>
      <c r="I1777" s="125"/>
      <c r="J1777" s="454"/>
      <c r="K1777" s="453"/>
      <c r="L1777" s="454"/>
      <c r="M1777" s="454"/>
      <c r="N1777" s="454"/>
      <c r="O1777" s="454"/>
      <c r="P1777" s="454"/>
      <c r="Q1777" s="454"/>
      <c r="R1777" s="454"/>
      <c r="S1777" s="454"/>
      <c r="T1777" s="454"/>
      <c r="U1777" s="454"/>
      <c r="V1777" s="454"/>
      <c r="W1777" s="454"/>
      <c r="X1777" s="454"/>
      <c r="Y1777" s="454"/>
      <c r="Z1777" s="454"/>
      <c r="AA1777" s="454"/>
      <c r="AB1777" s="454"/>
      <c r="AC1777" s="454"/>
      <c r="AD1777" s="454"/>
      <c r="AE1777" s="454"/>
      <c r="AF1777" s="454"/>
      <c r="AG1777" s="454"/>
      <c r="AH1777" s="454"/>
      <c r="AI1777" s="454"/>
      <c r="AJ1777" s="769"/>
    </row>
    <row r="1778" spans="1:36" ht="14">
      <c r="A1778" s="160"/>
      <c r="B1778" s="160"/>
      <c r="C1778" s="161"/>
      <c r="D1778" s="161">
        <v>6</v>
      </c>
      <c r="E1778" s="161" t="s">
        <v>199</v>
      </c>
      <c r="F1778" s="41"/>
      <c r="G1778" s="41"/>
      <c r="H1778" s="163"/>
      <c r="I1778" s="125" t="s">
        <v>213</v>
      </c>
      <c r="J1778" s="454"/>
      <c r="K1778" s="453">
        <v>12700000</v>
      </c>
      <c r="L1778" s="454">
        <f>SUM(J1778:K1778)</f>
        <v>12700000</v>
      </c>
      <c r="M1778" s="454">
        <v>2700000</v>
      </c>
      <c r="N1778" s="454"/>
      <c r="O1778" s="454"/>
      <c r="P1778" s="454"/>
      <c r="Q1778" s="454"/>
      <c r="R1778" s="454"/>
      <c r="S1778" s="217">
        <f t="shared" ref="S1778" si="2062">SUM(M1778:R1778)</f>
        <v>2700000</v>
      </c>
      <c r="T1778" s="217">
        <f t="shared" ref="T1778" si="2063">S1778+L1778</f>
        <v>15400000</v>
      </c>
      <c r="U1778" s="454"/>
      <c r="V1778" s="454"/>
      <c r="W1778" s="454"/>
      <c r="X1778" s="454"/>
      <c r="Y1778" s="454"/>
      <c r="Z1778" s="217">
        <f>SUM(U1778:Y1778)</f>
        <v>0</v>
      </c>
      <c r="AA1778" s="217">
        <f>Z1778+T1778</f>
        <v>15400000</v>
      </c>
      <c r="AB1778" s="454"/>
      <c r="AC1778" s="454"/>
      <c r="AD1778" s="454"/>
      <c r="AE1778" s="454"/>
      <c r="AF1778" s="454"/>
      <c r="AG1778" s="217">
        <f t="shared" ref="AG1778" si="2064">SUM(AB1778:AF1778)</f>
        <v>0</v>
      </c>
      <c r="AH1778" s="217">
        <f t="shared" ref="AH1778" si="2065">AG1778+AA1778</f>
        <v>15400000</v>
      </c>
      <c r="AI1778" s="217"/>
      <c r="AJ1778" s="764"/>
    </row>
    <row r="1779" spans="1:36" ht="14">
      <c r="A1779" s="160"/>
      <c r="B1779" s="160"/>
      <c r="C1779" s="161"/>
      <c r="D1779" s="161"/>
      <c r="E1779" s="161"/>
      <c r="F1779" s="41"/>
      <c r="G1779" s="41"/>
      <c r="H1779" s="163"/>
      <c r="I1779" s="125"/>
      <c r="J1779" s="454"/>
      <c r="K1779" s="453"/>
      <c r="L1779" s="454"/>
      <c r="M1779" s="454"/>
      <c r="N1779" s="454"/>
      <c r="O1779" s="454"/>
      <c r="P1779" s="454"/>
      <c r="Q1779" s="454"/>
      <c r="R1779" s="454"/>
      <c r="S1779" s="454"/>
      <c r="T1779" s="454"/>
      <c r="U1779" s="454"/>
      <c r="V1779" s="454"/>
      <c r="W1779" s="454"/>
      <c r="X1779" s="454"/>
      <c r="Y1779" s="454"/>
      <c r="Z1779" s="454"/>
      <c r="AA1779" s="454"/>
      <c r="AB1779" s="454"/>
      <c r="AC1779" s="454"/>
      <c r="AD1779" s="454"/>
      <c r="AE1779" s="454"/>
      <c r="AF1779" s="454"/>
      <c r="AG1779" s="454"/>
      <c r="AH1779" s="454"/>
      <c r="AI1779" s="454"/>
      <c r="AJ1779" s="769"/>
    </row>
    <row r="1780" spans="1:36" ht="14">
      <c r="A1780" s="160"/>
      <c r="B1780" s="160"/>
      <c r="C1780" s="161"/>
      <c r="D1780" s="161"/>
      <c r="E1780" s="161"/>
      <c r="F1780" s="64"/>
      <c r="G1780" s="64"/>
      <c r="H1780" s="65"/>
      <c r="I1780" s="64" t="s">
        <v>38</v>
      </c>
      <c r="J1780" s="170">
        <f t="shared" ref="J1780:K1780" si="2066">SUM(J1778:J1779)</f>
        <v>0</v>
      </c>
      <c r="K1780" s="212">
        <f t="shared" si="2066"/>
        <v>12700000</v>
      </c>
      <c r="L1780" s="170">
        <f>SUM(L1778:L1779)</f>
        <v>12700000</v>
      </c>
      <c r="M1780" s="170">
        <f t="shared" ref="M1780:T1780" si="2067">SUM(M1778:M1779)</f>
        <v>2700000</v>
      </c>
      <c r="N1780" s="170">
        <f t="shared" si="2067"/>
        <v>0</v>
      </c>
      <c r="O1780" s="170">
        <f t="shared" si="2067"/>
        <v>0</v>
      </c>
      <c r="P1780" s="170">
        <f t="shared" si="2067"/>
        <v>0</v>
      </c>
      <c r="Q1780" s="170">
        <f t="shared" si="2067"/>
        <v>0</v>
      </c>
      <c r="R1780" s="170">
        <f t="shared" si="2067"/>
        <v>0</v>
      </c>
      <c r="S1780" s="170">
        <f t="shared" si="2067"/>
        <v>2700000</v>
      </c>
      <c r="T1780" s="170">
        <f t="shared" si="2067"/>
        <v>15400000</v>
      </c>
      <c r="U1780" s="170"/>
      <c r="V1780" s="170"/>
      <c r="W1780" s="170"/>
      <c r="X1780" s="170"/>
      <c r="Y1780" s="170"/>
      <c r="Z1780" s="170">
        <f t="shared" ref="Z1780:AA1780" si="2068">SUM(Z1778:Z1779)</f>
        <v>0</v>
      </c>
      <c r="AA1780" s="170">
        <f t="shared" si="2068"/>
        <v>15400000</v>
      </c>
      <c r="AB1780" s="170"/>
      <c r="AC1780" s="170"/>
      <c r="AD1780" s="170"/>
      <c r="AE1780" s="170"/>
      <c r="AF1780" s="170"/>
      <c r="AG1780" s="170">
        <f t="shared" ref="AG1780:AH1780" si="2069">SUM(AG1778:AG1779)</f>
        <v>0</v>
      </c>
      <c r="AH1780" s="170">
        <f t="shared" si="2069"/>
        <v>15400000</v>
      </c>
      <c r="AI1780" s="170"/>
      <c r="AJ1780" s="789"/>
    </row>
    <row r="1781" spans="1:36" ht="14">
      <c r="A1781" s="160"/>
      <c r="B1781" s="160"/>
      <c r="C1781" s="161"/>
      <c r="D1781" s="161"/>
      <c r="E1781" s="161"/>
      <c r="F1781" s="41"/>
      <c r="G1781" s="41"/>
      <c r="H1781" s="163"/>
      <c r="I1781" s="125"/>
      <c r="J1781" s="167"/>
      <c r="K1781" s="213"/>
      <c r="L1781" s="168"/>
      <c r="M1781" s="168"/>
      <c r="N1781" s="168"/>
      <c r="O1781" s="168"/>
      <c r="P1781" s="168"/>
      <c r="Q1781" s="168"/>
      <c r="R1781" s="168"/>
      <c r="S1781" s="168"/>
      <c r="T1781" s="168"/>
      <c r="U1781" s="168"/>
      <c r="V1781" s="168"/>
      <c r="W1781" s="168"/>
      <c r="X1781" s="168"/>
      <c r="Y1781" s="168"/>
      <c r="Z1781" s="168"/>
      <c r="AA1781" s="168"/>
      <c r="AB1781" s="168"/>
      <c r="AC1781" s="168"/>
      <c r="AD1781" s="168"/>
      <c r="AE1781" s="168"/>
      <c r="AF1781" s="168"/>
      <c r="AG1781" s="168"/>
      <c r="AH1781" s="168"/>
      <c r="AI1781" s="168"/>
      <c r="AJ1781" s="790"/>
    </row>
    <row r="1782" spans="1:36" ht="14">
      <c r="A1782" s="160"/>
      <c r="B1782" s="160"/>
      <c r="C1782" s="161"/>
      <c r="D1782" s="161"/>
      <c r="E1782" s="161"/>
      <c r="F1782" s="42"/>
      <c r="G1782" s="42"/>
      <c r="H1782" s="165"/>
      <c r="I1782" s="166" t="s">
        <v>37</v>
      </c>
      <c r="J1782" s="171">
        <f t="shared" ref="J1782:K1782" si="2070">J1780+J1774</f>
        <v>0</v>
      </c>
      <c r="K1782" s="214">
        <f t="shared" si="2070"/>
        <v>25400000</v>
      </c>
      <c r="L1782" s="171">
        <f>L1780+L1774</f>
        <v>25400000</v>
      </c>
      <c r="M1782" s="171">
        <f t="shared" ref="M1782:T1782" si="2071">M1780+M1774</f>
        <v>28299556</v>
      </c>
      <c r="N1782" s="171">
        <f t="shared" si="2071"/>
        <v>0</v>
      </c>
      <c r="O1782" s="171">
        <f t="shared" si="2071"/>
        <v>0</v>
      </c>
      <c r="P1782" s="171">
        <f t="shared" si="2071"/>
        <v>0</v>
      </c>
      <c r="Q1782" s="171">
        <f t="shared" si="2071"/>
        <v>0</v>
      </c>
      <c r="R1782" s="171">
        <f t="shared" si="2071"/>
        <v>0</v>
      </c>
      <c r="S1782" s="171">
        <f t="shared" si="2071"/>
        <v>28299556</v>
      </c>
      <c r="T1782" s="171">
        <f t="shared" si="2071"/>
        <v>53699556</v>
      </c>
      <c r="U1782" s="171"/>
      <c r="V1782" s="171"/>
      <c r="W1782" s="171"/>
      <c r="X1782" s="171"/>
      <c r="Y1782" s="171"/>
      <c r="Z1782" s="171">
        <f t="shared" ref="Z1782:AA1782" si="2072">Z1780+Z1774</f>
        <v>0</v>
      </c>
      <c r="AA1782" s="171">
        <f t="shared" si="2072"/>
        <v>53699556</v>
      </c>
      <c r="AB1782" s="171"/>
      <c r="AC1782" s="171"/>
      <c r="AD1782" s="171"/>
      <c r="AE1782" s="171"/>
      <c r="AF1782" s="171"/>
      <c r="AG1782" s="171">
        <f t="shared" ref="AG1782:AH1782" si="2073">AG1780+AG1774</f>
        <v>0</v>
      </c>
      <c r="AH1782" s="171">
        <f t="shared" si="2073"/>
        <v>53699556</v>
      </c>
      <c r="AI1782" s="171">
        <f t="shared" ref="AI1782" si="2074">AI1780+AI1774</f>
        <v>2468921</v>
      </c>
      <c r="AJ1782" s="776">
        <f>AI1782/AH1782*100</f>
        <v>4.5976562636756251</v>
      </c>
    </row>
    <row r="1783" spans="1:36" ht="14">
      <c r="A1783" s="40"/>
      <c r="B1783" s="40"/>
      <c r="C1783" s="124"/>
      <c r="D1783" s="124"/>
      <c r="E1783" s="124"/>
      <c r="F1783" s="41"/>
      <c r="G1783" s="41"/>
      <c r="H1783" s="63"/>
      <c r="I1783" s="41"/>
      <c r="J1783" s="680"/>
      <c r="K1783" s="679"/>
      <c r="L1783" s="678"/>
      <c r="M1783" s="678"/>
      <c r="N1783" s="678"/>
      <c r="O1783" s="678"/>
      <c r="P1783" s="678"/>
      <c r="Q1783" s="678"/>
      <c r="R1783" s="678"/>
      <c r="S1783" s="678"/>
      <c r="T1783" s="678"/>
      <c r="U1783" s="678"/>
      <c r="V1783" s="678"/>
      <c r="W1783" s="678"/>
      <c r="X1783" s="678"/>
      <c r="Y1783" s="678"/>
      <c r="Z1783" s="678"/>
      <c r="AA1783" s="678"/>
      <c r="AB1783" s="702"/>
      <c r="AC1783" s="702"/>
      <c r="AD1783" s="702"/>
      <c r="AE1783" s="702"/>
      <c r="AF1783" s="702"/>
      <c r="AG1783" s="702"/>
      <c r="AH1783" s="702"/>
      <c r="AI1783" s="702"/>
      <c r="AJ1783" s="780"/>
    </row>
    <row r="1784" spans="1:36" ht="14">
      <c r="A1784" s="40">
        <v>209</v>
      </c>
      <c r="B1784" s="40"/>
      <c r="C1784" s="124"/>
      <c r="D1784" s="124"/>
      <c r="E1784" s="124"/>
      <c r="F1784" s="41" t="s">
        <v>412</v>
      </c>
      <c r="G1784" s="41"/>
      <c r="H1784" s="163"/>
      <c r="I1784" s="66"/>
      <c r="J1784" s="452"/>
      <c r="K1784" s="453"/>
      <c r="L1784" s="454"/>
      <c r="M1784" s="454"/>
      <c r="N1784" s="454"/>
      <c r="O1784" s="454"/>
      <c r="P1784" s="454"/>
      <c r="Q1784" s="454"/>
      <c r="R1784" s="454"/>
      <c r="S1784" s="454"/>
      <c r="T1784" s="454"/>
      <c r="U1784" s="454"/>
      <c r="V1784" s="454"/>
      <c r="W1784" s="454"/>
      <c r="X1784" s="454"/>
      <c r="Y1784" s="454"/>
      <c r="Z1784" s="454"/>
      <c r="AA1784" s="454"/>
      <c r="AB1784" s="454"/>
      <c r="AC1784" s="454"/>
      <c r="AD1784" s="454"/>
      <c r="AE1784" s="454"/>
      <c r="AF1784" s="454"/>
      <c r="AG1784" s="454"/>
      <c r="AH1784" s="454"/>
      <c r="AI1784" s="454"/>
      <c r="AJ1784" s="769"/>
    </row>
    <row r="1785" spans="1:36" ht="14">
      <c r="A1785" s="40"/>
      <c r="B1785" s="40"/>
      <c r="C1785" s="124">
        <v>2</v>
      </c>
      <c r="D1785" s="124"/>
      <c r="E1785" s="124"/>
      <c r="F1785" s="41"/>
      <c r="G1785" s="41"/>
      <c r="H1785" s="162" t="s">
        <v>211</v>
      </c>
      <c r="I1785" s="125"/>
      <c r="J1785" s="524"/>
      <c r="K1785" s="525"/>
      <c r="L1785" s="526"/>
      <c r="M1785" s="526"/>
      <c r="N1785" s="526"/>
      <c r="O1785" s="526"/>
      <c r="P1785" s="526"/>
      <c r="Q1785" s="526"/>
      <c r="R1785" s="526"/>
      <c r="S1785" s="526"/>
      <c r="T1785" s="526"/>
      <c r="U1785" s="526"/>
      <c r="V1785" s="526"/>
      <c r="W1785" s="526"/>
      <c r="X1785" s="526"/>
      <c r="Y1785" s="526"/>
      <c r="Z1785" s="526"/>
      <c r="AA1785" s="526"/>
      <c r="AB1785" s="526"/>
      <c r="AC1785" s="526"/>
      <c r="AD1785" s="526"/>
      <c r="AE1785" s="526"/>
      <c r="AF1785" s="526"/>
      <c r="AG1785" s="526"/>
      <c r="AH1785" s="526"/>
      <c r="AI1785" s="526"/>
      <c r="AJ1785" s="779"/>
    </row>
    <row r="1786" spans="1:36" ht="14">
      <c r="A1786" s="40"/>
      <c r="B1786" s="40"/>
      <c r="C1786" s="124"/>
      <c r="D1786" s="124">
        <v>6</v>
      </c>
      <c r="E1786" s="124" t="s">
        <v>199</v>
      </c>
      <c r="F1786" s="41"/>
      <c r="G1786" s="41"/>
      <c r="H1786" s="163"/>
      <c r="I1786" s="125" t="s">
        <v>213</v>
      </c>
      <c r="J1786" s="524"/>
      <c r="K1786" s="525">
        <v>10000000</v>
      </c>
      <c r="L1786" s="454">
        <f>SUM(J1786:K1786)</f>
        <v>10000000</v>
      </c>
      <c r="M1786" s="454">
        <v>1066800</v>
      </c>
      <c r="N1786" s="454"/>
      <c r="O1786" s="454"/>
      <c r="P1786" s="454"/>
      <c r="Q1786" s="454">
        <v>1275000</v>
      </c>
      <c r="R1786" s="454"/>
      <c r="S1786" s="217">
        <f t="shared" ref="S1786" si="2075">SUM(M1786:R1786)</f>
        <v>2341800</v>
      </c>
      <c r="T1786" s="217">
        <f t="shared" ref="T1786" si="2076">S1786+L1786</f>
        <v>12341800</v>
      </c>
      <c r="U1786" s="454"/>
      <c r="V1786" s="454"/>
      <c r="W1786" s="454"/>
      <c r="X1786" s="454"/>
      <c r="Y1786" s="454"/>
      <c r="Z1786" s="217">
        <f>SUM(U1786:Y1786)</f>
        <v>0</v>
      </c>
      <c r="AA1786" s="217">
        <f>Z1786+T1786</f>
        <v>12341800</v>
      </c>
      <c r="AB1786" s="454"/>
      <c r="AC1786" s="454"/>
      <c r="AD1786" s="454"/>
      <c r="AE1786" s="454">
        <v>1504776</v>
      </c>
      <c r="AF1786" s="454"/>
      <c r="AG1786" s="217">
        <f t="shared" ref="AG1786" si="2077">SUM(AB1786:AF1786)</f>
        <v>1504776</v>
      </c>
      <c r="AH1786" s="217">
        <f t="shared" ref="AH1786" si="2078">AG1786+AA1786</f>
        <v>13846576</v>
      </c>
      <c r="AI1786" s="217">
        <v>9707570</v>
      </c>
      <c r="AJ1786" s="764">
        <f>AI1786/AH1786*100</f>
        <v>70.108090260003635</v>
      </c>
    </row>
    <row r="1787" spans="1:36" ht="14">
      <c r="A1787" s="40"/>
      <c r="B1787" s="40"/>
      <c r="C1787" s="124"/>
      <c r="D1787" s="124"/>
      <c r="E1787" s="124"/>
      <c r="F1787" s="41"/>
      <c r="G1787" s="41"/>
      <c r="H1787" s="163"/>
      <c r="I1787" s="125"/>
      <c r="J1787" s="524"/>
      <c r="K1787" s="525"/>
      <c r="L1787" s="526"/>
      <c r="M1787" s="526"/>
      <c r="N1787" s="526"/>
      <c r="O1787" s="526"/>
      <c r="P1787" s="526"/>
      <c r="Q1787" s="526"/>
      <c r="R1787" s="526"/>
      <c r="S1787" s="217"/>
      <c r="T1787" s="217"/>
      <c r="U1787" s="526"/>
      <c r="V1787" s="526"/>
      <c r="W1787" s="526"/>
      <c r="X1787" s="526"/>
      <c r="Y1787" s="526"/>
      <c r="Z1787" s="217"/>
      <c r="AA1787" s="217"/>
      <c r="AB1787" s="526"/>
      <c r="AC1787" s="526"/>
      <c r="AD1787" s="526"/>
      <c r="AE1787" s="526"/>
      <c r="AF1787" s="526"/>
      <c r="AG1787" s="217"/>
      <c r="AH1787" s="217"/>
      <c r="AI1787" s="217"/>
      <c r="AJ1787" s="764"/>
    </row>
    <row r="1788" spans="1:36" ht="14">
      <c r="A1788" s="40"/>
      <c r="B1788" s="40"/>
      <c r="C1788" s="124"/>
      <c r="D1788" s="124"/>
      <c r="E1788" s="124"/>
      <c r="F1788" s="42"/>
      <c r="G1788" s="42"/>
      <c r="H1788" s="165"/>
      <c r="I1788" s="166" t="s">
        <v>37</v>
      </c>
      <c r="J1788" s="528"/>
      <c r="K1788" s="529">
        <f>SUM(K1783:K1787)</f>
        <v>10000000</v>
      </c>
      <c r="L1788" s="530">
        <f>SUM(L1783:L1787)</f>
        <v>10000000</v>
      </c>
      <c r="M1788" s="530">
        <f t="shared" ref="M1788:T1788" si="2079">SUM(M1783:M1787)</f>
        <v>1066800</v>
      </c>
      <c r="N1788" s="530">
        <f t="shared" si="2079"/>
        <v>0</v>
      </c>
      <c r="O1788" s="530">
        <f t="shared" si="2079"/>
        <v>0</v>
      </c>
      <c r="P1788" s="530">
        <f t="shared" si="2079"/>
        <v>0</v>
      </c>
      <c r="Q1788" s="530">
        <f t="shared" si="2079"/>
        <v>1275000</v>
      </c>
      <c r="R1788" s="530">
        <f t="shared" si="2079"/>
        <v>0</v>
      </c>
      <c r="S1788" s="530">
        <f t="shared" si="2079"/>
        <v>2341800</v>
      </c>
      <c r="T1788" s="530">
        <f t="shared" si="2079"/>
        <v>12341800</v>
      </c>
      <c r="U1788" s="530"/>
      <c r="V1788" s="530"/>
      <c r="W1788" s="530"/>
      <c r="X1788" s="530"/>
      <c r="Y1788" s="530"/>
      <c r="Z1788" s="530">
        <f t="shared" ref="Z1788:AA1788" si="2080">SUM(Z1783:Z1787)</f>
        <v>0</v>
      </c>
      <c r="AA1788" s="530">
        <f t="shared" si="2080"/>
        <v>12341800</v>
      </c>
      <c r="AB1788" s="530"/>
      <c r="AC1788" s="530"/>
      <c r="AD1788" s="530"/>
      <c r="AE1788" s="530">
        <f t="shared" ref="AE1788:AI1788" si="2081">SUM(AE1783:AE1787)</f>
        <v>1504776</v>
      </c>
      <c r="AF1788" s="530"/>
      <c r="AG1788" s="530">
        <f t="shared" si="2081"/>
        <v>1504776</v>
      </c>
      <c r="AH1788" s="530">
        <f t="shared" si="2081"/>
        <v>13846576</v>
      </c>
      <c r="AI1788" s="530">
        <f t="shared" si="2081"/>
        <v>9707570</v>
      </c>
      <c r="AJ1788" s="776">
        <f>AI1788/AH1788*100</f>
        <v>70.108090260003635</v>
      </c>
    </row>
    <row r="1789" spans="1:36" ht="14">
      <c r="A1789" s="40"/>
      <c r="B1789" s="40"/>
      <c r="C1789" s="124"/>
      <c r="D1789" s="124"/>
      <c r="E1789" s="124"/>
      <c r="F1789" s="41"/>
      <c r="G1789" s="41"/>
      <c r="H1789" s="63"/>
      <c r="I1789" s="41"/>
      <c r="J1789" s="680"/>
      <c r="K1789" s="679"/>
      <c r="L1789" s="678"/>
      <c r="M1789" s="678"/>
      <c r="N1789" s="678"/>
      <c r="O1789" s="678"/>
      <c r="P1789" s="678"/>
      <c r="Q1789" s="678"/>
      <c r="R1789" s="678"/>
      <c r="S1789" s="678"/>
      <c r="T1789" s="678"/>
      <c r="U1789" s="678"/>
      <c r="V1789" s="678"/>
      <c r="W1789" s="678"/>
      <c r="X1789" s="678"/>
      <c r="Y1789" s="678"/>
      <c r="Z1789" s="678"/>
      <c r="AA1789" s="678"/>
      <c r="AB1789" s="702"/>
      <c r="AC1789" s="702"/>
      <c r="AD1789" s="702"/>
      <c r="AE1789" s="702"/>
      <c r="AF1789" s="702"/>
      <c r="AG1789" s="702"/>
      <c r="AH1789" s="702"/>
      <c r="AI1789" s="702"/>
      <c r="AJ1789" s="780"/>
    </row>
    <row r="1790" spans="1:36" ht="14">
      <c r="A1790" s="40">
        <v>210</v>
      </c>
      <c r="B1790" s="40"/>
      <c r="C1790" s="124"/>
      <c r="D1790" s="124"/>
      <c r="E1790" s="124"/>
      <c r="F1790" s="942" t="s">
        <v>416</v>
      </c>
      <c r="G1790" s="935"/>
      <c r="H1790" s="935"/>
      <c r="I1790" s="936"/>
      <c r="J1790" s="452"/>
      <c r="K1790" s="453"/>
      <c r="L1790" s="454"/>
      <c r="M1790" s="454"/>
      <c r="N1790" s="454"/>
      <c r="O1790" s="454"/>
      <c r="P1790" s="454"/>
      <c r="Q1790" s="454"/>
      <c r="R1790" s="454"/>
      <c r="S1790" s="454"/>
      <c r="T1790" s="454"/>
      <c r="U1790" s="454"/>
      <c r="V1790" s="454"/>
      <c r="W1790" s="454"/>
      <c r="X1790" s="454"/>
      <c r="Y1790" s="454"/>
      <c r="Z1790" s="454"/>
      <c r="AA1790" s="454"/>
      <c r="AB1790" s="454"/>
      <c r="AC1790" s="454"/>
      <c r="AD1790" s="454"/>
      <c r="AE1790" s="454"/>
      <c r="AF1790" s="454"/>
      <c r="AG1790" s="454"/>
      <c r="AH1790" s="454"/>
      <c r="AI1790" s="454"/>
      <c r="AJ1790" s="769"/>
    </row>
    <row r="1791" spans="1:36" ht="14">
      <c r="A1791" s="40"/>
      <c r="B1791" s="40"/>
      <c r="C1791" s="124">
        <v>2</v>
      </c>
      <c r="D1791" s="124"/>
      <c r="E1791" s="124"/>
      <c r="F1791" s="41"/>
      <c r="G1791" s="41"/>
      <c r="H1791" s="162" t="s">
        <v>211</v>
      </c>
      <c r="I1791" s="125"/>
      <c r="J1791" s="524"/>
      <c r="K1791" s="525"/>
      <c r="L1791" s="454"/>
      <c r="M1791" s="454"/>
      <c r="N1791" s="454"/>
      <c r="O1791" s="454"/>
      <c r="P1791" s="454"/>
      <c r="Q1791" s="454"/>
      <c r="R1791" s="454"/>
      <c r="S1791" s="454"/>
      <c r="T1791" s="454"/>
      <c r="U1791" s="454"/>
      <c r="V1791" s="454"/>
      <c r="W1791" s="454"/>
      <c r="X1791" s="454"/>
      <c r="Y1791" s="454"/>
      <c r="Z1791" s="454"/>
      <c r="AA1791" s="454"/>
      <c r="AB1791" s="454"/>
      <c r="AC1791" s="454"/>
      <c r="AD1791" s="454"/>
      <c r="AE1791" s="454"/>
      <c r="AF1791" s="454"/>
      <c r="AG1791" s="454"/>
      <c r="AH1791" s="454"/>
      <c r="AI1791" s="454"/>
      <c r="AJ1791" s="769"/>
    </row>
    <row r="1792" spans="1:36" ht="14">
      <c r="A1792" s="40"/>
      <c r="B1792" s="40"/>
      <c r="C1792" s="124"/>
      <c r="D1792" s="124">
        <v>6</v>
      </c>
      <c r="E1792" s="124" t="s">
        <v>199</v>
      </c>
      <c r="F1792" s="41"/>
      <c r="G1792" s="41"/>
      <c r="H1792" s="163"/>
      <c r="I1792" s="125" t="s">
        <v>213</v>
      </c>
      <c r="J1792" s="524"/>
      <c r="K1792" s="525">
        <v>9000000</v>
      </c>
      <c r="L1792" s="454">
        <f>SUM(J1792:K1792)</f>
        <v>9000000</v>
      </c>
      <c r="M1792" s="454">
        <v>1295400</v>
      </c>
      <c r="N1792" s="454"/>
      <c r="O1792" s="454"/>
      <c r="P1792" s="454"/>
      <c r="Q1792" s="454">
        <v>1885950</v>
      </c>
      <c r="R1792" s="454"/>
      <c r="S1792" s="217">
        <f t="shared" ref="S1792" si="2082">SUM(M1792:R1792)</f>
        <v>3181350</v>
      </c>
      <c r="T1792" s="217">
        <f t="shared" ref="T1792" si="2083">S1792+L1792</f>
        <v>12181350</v>
      </c>
      <c r="U1792" s="454"/>
      <c r="V1792" s="454"/>
      <c r="W1792" s="454"/>
      <c r="X1792" s="454"/>
      <c r="Y1792" s="454"/>
      <c r="Z1792" s="217">
        <f>SUM(U1792:Y1792)</f>
        <v>0</v>
      </c>
      <c r="AA1792" s="217">
        <f>Z1792+T1792</f>
        <v>12181350</v>
      </c>
      <c r="AB1792" s="454"/>
      <c r="AC1792" s="454"/>
      <c r="AD1792" s="454"/>
      <c r="AE1792" s="454">
        <v>355600</v>
      </c>
      <c r="AF1792" s="454"/>
      <c r="AG1792" s="217">
        <f t="shared" ref="AG1792" si="2084">SUM(AB1792:AF1792)</f>
        <v>355600</v>
      </c>
      <c r="AH1792" s="217">
        <f t="shared" ref="AH1792" si="2085">AG1792+AA1792</f>
        <v>12536950</v>
      </c>
      <c r="AI1792" s="217">
        <v>3536950</v>
      </c>
      <c r="AJ1792" s="764">
        <f>AI1792/AH1792*100</f>
        <v>28.212204722839285</v>
      </c>
    </row>
    <row r="1793" spans="1:36" ht="14">
      <c r="A1793" s="40"/>
      <c r="B1793" s="40"/>
      <c r="C1793" s="124"/>
      <c r="D1793" s="124"/>
      <c r="E1793" s="124"/>
      <c r="F1793" s="41"/>
      <c r="G1793" s="41"/>
      <c r="H1793" s="163"/>
      <c r="I1793" s="125"/>
      <c r="J1793" s="524"/>
      <c r="K1793" s="525"/>
      <c r="L1793" s="526"/>
      <c r="M1793" s="526"/>
      <c r="N1793" s="526"/>
      <c r="O1793" s="526"/>
      <c r="P1793" s="526"/>
      <c r="Q1793" s="526"/>
      <c r="R1793" s="526"/>
      <c r="S1793" s="526"/>
      <c r="T1793" s="526"/>
      <c r="U1793" s="526"/>
      <c r="V1793" s="526"/>
      <c r="W1793" s="526"/>
      <c r="X1793" s="526"/>
      <c r="Y1793" s="526"/>
      <c r="Z1793" s="526"/>
      <c r="AA1793" s="526"/>
      <c r="AB1793" s="526"/>
      <c r="AC1793" s="526"/>
      <c r="AD1793" s="526"/>
      <c r="AE1793" s="526"/>
      <c r="AF1793" s="526"/>
      <c r="AG1793" s="526"/>
      <c r="AH1793" s="526"/>
      <c r="AI1793" s="526"/>
      <c r="AJ1793" s="779"/>
    </row>
    <row r="1794" spans="1:36" ht="14">
      <c r="A1794" s="40"/>
      <c r="B1794" s="40"/>
      <c r="C1794" s="124"/>
      <c r="D1794" s="124"/>
      <c r="E1794" s="124"/>
      <c r="F1794" s="42"/>
      <c r="G1794" s="42"/>
      <c r="H1794" s="165"/>
      <c r="I1794" s="166" t="s">
        <v>37</v>
      </c>
      <c r="J1794" s="528"/>
      <c r="K1794" s="529">
        <f>SUM(K1789:K1793)</f>
        <v>9000000</v>
      </c>
      <c r="L1794" s="530">
        <f>SUM(L1789:L1793)</f>
        <v>9000000</v>
      </c>
      <c r="M1794" s="530">
        <f t="shared" ref="M1794:T1794" si="2086">SUM(M1789:M1793)</f>
        <v>1295400</v>
      </c>
      <c r="N1794" s="530">
        <f t="shared" si="2086"/>
        <v>0</v>
      </c>
      <c r="O1794" s="530">
        <f t="shared" si="2086"/>
        <v>0</v>
      </c>
      <c r="P1794" s="530">
        <f t="shared" si="2086"/>
        <v>0</v>
      </c>
      <c r="Q1794" s="530">
        <f t="shared" si="2086"/>
        <v>1885950</v>
      </c>
      <c r="R1794" s="530">
        <f t="shared" si="2086"/>
        <v>0</v>
      </c>
      <c r="S1794" s="530">
        <f t="shared" si="2086"/>
        <v>3181350</v>
      </c>
      <c r="T1794" s="530">
        <f t="shared" si="2086"/>
        <v>12181350</v>
      </c>
      <c r="U1794" s="530"/>
      <c r="V1794" s="530"/>
      <c r="W1794" s="530"/>
      <c r="X1794" s="530"/>
      <c r="Y1794" s="530"/>
      <c r="Z1794" s="530">
        <f t="shared" ref="Z1794:AA1794" si="2087">SUM(Z1789:Z1793)</f>
        <v>0</v>
      </c>
      <c r="AA1794" s="530">
        <f t="shared" si="2087"/>
        <v>12181350</v>
      </c>
      <c r="AB1794" s="530"/>
      <c r="AC1794" s="530"/>
      <c r="AD1794" s="530"/>
      <c r="AE1794" s="530">
        <f t="shared" ref="AE1794:AI1794" si="2088">SUM(AE1789:AE1793)</f>
        <v>355600</v>
      </c>
      <c r="AF1794" s="530"/>
      <c r="AG1794" s="530">
        <f t="shared" si="2088"/>
        <v>355600</v>
      </c>
      <c r="AH1794" s="530">
        <f t="shared" si="2088"/>
        <v>12536950</v>
      </c>
      <c r="AI1794" s="530">
        <f t="shared" si="2088"/>
        <v>3536950</v>
      </c>
      <c r="AJ1794" s="776">
        <f>AI1794/AH1794*100</f>
        <v>28.212204722839285</v>
      </c>
    </row>
    <row r="1795" spans="1:36" ht="14">
      <c r="A1795" s="40"/>
      <c r="B1795" s="40"/>
      <c r="C1795" s="124"/>
      <c r="D1795" s="124"/>
      <c r="E1795" s="124"/>
      <c r="F1795" s="41"/>
      <c r="G1795" s="41"/>
      <c r="H1795" s="63"/>
      <c r="I1795" s="41"/>
      <c r="J1795" s="680"/>
      <c r="K1795" s="679"/>
      <c r="L1795" s="678"/>
      <c r="M1795" s="678"/>
      <c r="N1795" s="678"/>
      <c r="O1795" s="678"/>
      <c r="P1795" s="678"/>
      <c r="Q1795" s="678"/>
      <c r="R1795" s="678"/>
      <c r="S1795" s="678"/>
      <c r="T1795" s="678"/>
      <c r="U1795" s="678"/>
      <c r="V1795" s="678"/>
      <c r="W1795" s="678"/>
      <c r="X1795" s="678"/>
      <c r="Y1795" s="678"/>
      <c r="Z1795" s="678"/>
      <c r="AA1795" s="678"/>
      <c r="AB1795" s="702"/>
      <c r="AC1795" s="702"/>
      <c r="AD1795" s="702"/>
      <c r="AE1795" s="702"/>
      <c r="AF1795" s="702"/>
      <c r="AG1795" s="702"/>
      <c r="AH1795" s="702"/>
      <c r="AI1795" s="702"/>
      <c r="AJ1795" s="780"/>
    </row>
    <row r="1796" spans="1:36" ht="14">
      <c r="A1796" s="40">
        <v>211</v>
      </c>
      <c r="B1796" s="40"/>
      <c r="C1796" s="124"/>
      <c r="D1796" s="124"/>
      <c r="E1796" s="124"/>
      <c r="F1796" s="942" t="s">
        <v>413</v>
      </c>
      <c r="G1796" s="935"/>
      <c r="H1796" s="935"/>
      <c r="I1796" s="936"/>
      <c r="J1796" s="452"/>
      <c r="K1796" s="453"/>
      <c r="L1796" s="454"/>
      <c r="M1796" s="454"/>
      <c r="N1796" s="454"/>
      <c r="O1796" s="454"/>
      <c r="P1796" s="454"/>
      <c r="Q1796" s="454"/>
      <c r="R1796" s="454"/>
      <c r="S1796" s="454"/>
      <c r="T1796" s="454"/>
      <c r="U1796" s="454"/>
      <c r="V1796" s="454"/>
      <c r="W1796" s="454"/>
      <c r="X1796" s="454"/>
      <c r="Y1796" s="454"/>
      <c r="Z1796" s="454"/>
      <c r="AA1796" s="454"/>
      <c r="AB1796" s="454"/>
      <c r="AC1796" s="454"/>
      <c r="AD1796" s="454"/>
      <c r="AE1796" s="454"/>
      <c r="AF1796" s="454"/>
      <c r="AG1796" s="454"/>
      <c r="AH1796" s="454"/>
      <c r="AI1796" s="454"/>
      <c r="AJ1796" s="769"/>
    </row>
    <row r="1797" spans="1:36" ht="14">
      <c r="A1797" s="160"/>
      <c r="B1797" s="160"/>
      <c r="C1797" s="124">
        <v>1</v>
      </c>
      <c r="D1797" s="124"/>
      <c r="E1797" s="124"/>
      <c r="F1797" s="41"/>
      <c r="G1797" s="41"/>
      <c r="H1797" s="163" t="s">
        <v>35</v>
      </c>
      <c r="I1797" s="66"/>
      <c r="J1797" s="454"/>
      <c r="K1797" s="483"/>
      <c r="L1797" s="454"/>
      <c r="M1797" s="454"/>
      <c r="N1797" s="454"/>
      <c r="O1797" s="454"/>
      <c r="P1797" s="454"/>
      <c r="Q1797" s="454"/>
      <c r="R1797" s="454"/>
      <c r="S1797" s="217"/>
      <c r="T1797" s="217"/>
      <c r="U1797" s="454"/>
      <c r="V1797" s="454"/>
      <c r="W1797" s="454"/>
      <c r="X1797" s="454"/>
      <c r="Y1797" s="454"/>
      <c r="Z1797" s="217"/>
      <c r="AA1797" s="217"/>
      <c r="AB1797" s="454"/>
      <c r="AC1797" s="454"/>
      <c r="AD1797" s="454"/>
      <c r="AE1797" s="454"/>
      <c r="AF1797" s="454"/>
      <c r="AG1797" s="217"/>
      <c r="AH1797" s="217"/>
      <c r="AI1797" s="217"/>
      <c r="AJ1797" s="764"/>
    </row>
    <row r="1798" spans="1:36" ht="14">
      <c r="A1798" s="160"/>
      <c r="B1798" s="160"/>
      <c r="C1798" s="124"/>
      <c r="D1798" s="124">
        <v>3</v>
      </c>
      <c r="E1798" s="124" t="s">
        <v>199</v>
      </c>
      <c r="F1798" s="41"/>
      <c r="G1798" s="41"/>
      <c r="H1798" s="162"/>
      <c r="I1798" s="125" t="s">
        <v>116</v>
      </c>
      <c r="J1798" s="454"/>
      <c r="K1798" s="483"/>
      <c r="L1798" s="454"/>
      <c r="M1798" s="454"/>
      <c r="N1798" s="454"/>
      <c r="O1798" s="454"/>
      <c r="P1798" s="454"/>
      <c r="Q1798" s="454">
        <v>467000</v>
      </c>
      <c r="R1798" s="454"/>
      <c r="S1798" s="217">
        <f t="shared" ref="S1798" si="2089">SUM(M1798:R1798)</f>
        <v>467000</v>
      </c>
      <c r="T1798" s="217">
        <f t="shared" ref="T1798" si="2090">S1798+L1798</f>
        <v>467000</v>
      </c>
      <c r="U1798" s="454"/>
      <c r="V1798" s="454"/>
      <c r="W1798" s="454"/>
      <c r="X1798" s="454"/>
      <c r="Y1798" s="454"/>
      <c r="Z1798" s="217">
        <f>SUM(U1798:Y1798)</f>
        <v>0</v>
      </c>
      <c r="AA1798" s="217">
        <f>Z1798+T1798</f>
        <v>467000</v>
      </c>
      <c r="AB1798" s="454"/>
      <c r="AC1798" s="454"/>
      <c r="AD1798" s="454"/>
      <c r="AE1798" s="454">
        <v>381000</v>
      </c>
      <c r="AF1798" s="454"/>
      <c r="AG1798" s="217">
        <f t="shared" ref="AG1798" si="2091">SUM(AB1798:AF1798)</f>
        <v>381000</v>
      </c>
      <c r="AH1798" s="217">
        <f t="shared" ref="AH1798" si="2092">AG1798+AA1798</f>
        <v>848000</v>
      </c>
      <c r="AI1798" s="217">
        <v>848000</v>
      </c>
      <c r="AJ1798" s="764">
        <f t="shared" ref="AJ1798:AJ1800" si="2093">AI1798/AH1798*100</f>
        <v>100</v>
      </c>
    </row>
    <row r="1799" spans="1:36" ht="14">
      <c r="A1799" s="40"/>
      <c r="B1799" s="40"/>
      <c r="C1799" s="124">
        <v>2</v>
      </c>
      <c r="D1799" s="124"/>
      <c r="E1799" s="124"/>
      <c r="F1799" s="41"/>
      <c r="G1799" s="41"/>
      <c r="H1799" s="162" t="s">
        <v>211</v>
      </c>
      <c r="I1799" s="125"/>
      <c r="J1799" s="452"/>
      <c r="K1799" s="453"/>
      <c r="L1799" s="454"/>
      <c r="M1799" s="454"/>
      <c r="N1799" s="454"/>
      <c r="O1799" s="454"/>
      <c r="P1799" s="454"/>
      <c r="Q1799" s="454"/>
      <c r="R1799" s="454"/>
      <c r="S1799" s="217"/>
      <c r="T1799" s="217"/>
      <c r="U1799" s="454"/>
      <c r="V1799" s="454"/>
      <c r="W1799" s="454"/>
      <c r="X1799" s="454"/>
      <c r="Y1799" s="454"/>
      <c r="Z1799" s="217"/>
      <c r="AA1799" s="217"/>
      <c r="AB1799" s="454"/>
      <c r="AC1799" s="454"/>
      <c r="AD1799" s="454"/>
      <c r="AE1799" s="454"/>
      <c r="AF1799" s="454"/>
      <c r="AG1799" s="217"/>
      <c r="AH1799" s="217"/>
      <c r="AI1799" s="217"/>
      <c r="AJ1799" s="764"/>
    </row>
    <row r="1800" spans="1:36" ht="14">
      <c r="A1800" s="40"/>
      <c r="B1800" s="40"/>
      <c r="C1800" s="124"/>
      <c r="D1800" s="124">
        <v>6</v>
      </c>
      <c r="E1800" s="124" t="s">
        <v>199</v>
      </c>
      <c r="F1800" s="41"/>
      <c r="G1800" s="41"/>
      <c r="H1800" s="163"/>
      <c r="I1800" s="125" t="s">
        <v>213</v>
      </c>
      <c r="J1800" s="524"/>
      <c r="K1800" s="525">
        <v>5000000</v>
      </c>
      <c r="L1800" s="454">
        <f>SUM(J1800:K1800)</f>
        <v>5000000</v>
      </c>
      <c r="M1800" s="454">
        <v>21999000</v>
      </c>
      <c r="N1800" s="454"/>
      <c r="O1800" s="454"/>
      <c r="P1800" s="454"/>
      <c r="Q1800" s="454">
        <v>-467000</v>
      </c>
      <c r="R1800" s="454"/>
      <c r="S1800" s="217">
        <f t="shared" ref="S1800" si="2094">SUM(M1800:R1800)</f>
        <v>21532000</v>
      </c>
      <c r="T1800" s="217">
        <f t="shared" ref="T1800" si="2095">S1800+L1800</f>
        <v>26532000</v>
      </c>
      <c r="U1800" s="454"/>
      <c r="V1800" s="454"/>
      <c r="W1800" s="454"/>
      <c r="X1800" s="454">
        <v>10500000</v>
      </c>
      <c r="Y1800" s="454"/>
      <c r="Z1800" s="217">
        <f>SUM(U1800:Y1800)</f>
        <v>10500000</v>
      </c>
      <c r="AA1800" s="217">
        <f>Z1800+T1800</f>
        <v>37032000</v>
      </c>
      <c r="AB1800" s="454">
        <v>29146932</v>
      </c>
      <c r="AC1800" s="454">
        <v>5400000</v>
      </c>
      <c r="AD1800" s="454"/>
      <c r="AE1800" s="454">
        <v>-1736000</v>
      </c>
      <c r="AF1800" s="454"/>
      <c r="AG1800" s="217">
        <f t="shared" ref="AG1800" si="2096">SUM(AB1800:AF1800)</f>
        <v>32810932</v>
      </c>
      <c r="AH1800" s="217">
        <f t="shared" ref="AH1800" si="2097">AG1800+AA1800</f>
        <v>69842932</v>
      </c>
      <c r="AI1800" s="217">
        <v>57778905</v>
      </c>
      <c r="AJ1800" s="764">
        <f t="shared" si="2093"/>
        <v>82.726917879106225</v>
      </c>
    </row>
    <row r="1801" spans="1:36" ht="5" customHeight="1">
      <c r="A1801" s="40"/>
      <c r="B1801" s="40"/>
      <c r="C1801" s="124"/>
      <c r="D1801" s="124"/>
      <c r="E1801" s="124"/>
      <c r="F1801" s="41"/>
      <c r="G1801" s="41"/>
      <c r="H1801" s="163"/>
      <c r="I1801" s="125"/>
      <c r="J1801" s="524"/>
      <c r="K1801" s="525"/>
      <c r="L1801" s="526"/>
      <c r="M1801" s="526"/>
      <c r="N1801" s="526"/>
      <c r="O1801" s="526"/>
      <c r="P1801" s="526"/>
      <c r="Q1801" s="526"/>
      <c r="R1801" s="526"/>
      <c r="S1801" s="526"/>
      <c r="T1801" s="526"/>
      <c r="U1801" s="526"/>
      <c r="V1801" s="526"/>
      <c r="W1801" s="526"/>
      <c r="X1801" s="526"/>
      <c r="Y1801" s="526"/>
      <c r="Z1801" s="526"/>
      <c r="AA1801" s="526"/>
      <c r="AB1801" s="526"/>
      <c r="AC1801" s="526"/>
      <c r="AD1801" s="526"/>
      <c r="AE1801" s="526"/>
      <c r="AF1801" s="526"/>
      <c r="AG1801" s="526"/>
      <c r="AH1801" s="526"/>
      <c r="AI1801" s="526"/>
      <c r="AJ1801" s="779"/>
    </row>
    <row r="1802" spans="1:36" ht="14">
      <c r="A1802" s="40"/>
      <c r="B1802" s="40"/>
      <c r="C1802" s="124"/>
      <c r="D1802" s="124"/>
      <c r="E1802" s="124"/>
      <c r="F1802" s="42"/>
      <c r="G1802" s="42"/>
      <c r="H1802" s="165"/>
      <c r="I1802" s="166" t="s">
        <v>37</v>
      </c>
      <c r="J1802" s="528"/>
      <c r="K1802" s="529">
        <f>SUM(K1800:K1801)</f>
        <v>5000000</v>
      </c>
      <c r="L1802" s="530">
        <f>SUM(L1795:L1801)</f>
        <v>5000000</v>
      </c>
      <c r="M1802" s="530">
        <f>SUM(M1795:M1801)</f>
        <v>21999000</v>
      </c>
      <c r="N1802" s="530">
        <f t="shared" ref="N1802:T1802" si="2098">SUM(N1795:N1801)</f>
        <v>0</v>
      </c>
      <c r="O1802" s="530">
        <f t="shared" si="2098"/>
        <v>0</v>
      </c>
      <c r="P1802" s="530">
        <f t="shared" si="2098"/>
        <v>0</v>
      </c>
      <c r="Q1802" s="530">
        <f t="shared" si="2098"/>
        <v>0</v>
      </c>
      <c r="R1802" s="530">
        <f t="shared" si="2098"/>
        <v>0</v>
      </c>
      <c r="S1802" s="530">
        <f t="shared" si="2098"/>
        <v>21999000</v>
      </c>
      <c r="T1802" s="530">
        <f t="shared" si="2098"/>
        <v>26999000</v>
      </c>
      <c r="U1802" s="530"/>
      <c r="V1802" s="530"/>
      <c r="W1802" s="530"/>
      <c r="X1802" s="530">
        <f t="shared" ref="X1802:AA1802" si="2099">SUM(X1795:X1801)</f>
        <v>10500000</v>
      </c>
      <c r="Y1802" s="530"/>
      <c r="Z1802" s="530">
        <f t="shared" si="2099"/>
        <v>10500000</v>
      </c>
      <c r="AA1802" s="530">
        <f t="shared" si="2099"/>
        <v>37499000</v>
      </c>
      <c r="AB1802" s="530">
        <f t="shared" ref="AB1802:AE1802" si="2100">SUM(AB1795:AB1801)</f>
        <v>29146932</v>
      </c>
      <c r="AC1802" s="530">
        <f t="shared" si="2100"/>
        <v>5400000</v>
      </c>
      <c r="AD1802" s="530"/>
      <c r="AE1802" s="530">
        <f t="shared" si="2100"/>
        <v>-1355000</v>
      </c>
      <c r="AF1802" s="530"/>
      <c r="AG1802" s="530">
        <f t="shared" ref="AG1802:AI1802" si="2101">SUM(AG1795:AG1801)</f>
        <v>33191932</v>
      </c>
      <c r="AH1802" s="530">
        <f t="shared" si="2101"/>
        <v>70690932</v>
      </c>
      <c r="AI1802" s="530">
        <f t="shared" si="2101"/>
        <v>58626905</v>
      </c>
      <c r="AJ1802" s="776">
        <f>AI1802/AH1802*100</f>
        <v>82.934123714764425</v>
      </c>
    </row>
    <row r="1803" spans="1:36" ht="14">
      <c r="A1803" s="40"/>
      <c r="B1803" s="40"/>
      <c r="C1803" s="124"/>
      <c r="D1803" s="124"/>
      <c r="E1803" s="124"/>
      <c r="F1803" s="41"/>
      <c r="G1803" s="41"/>
      <c r="H1803" s="63"/>
      <c r="I1803" s="41"/>
      <c r="J1803" s="680"/>
      <c r="K1803" s="679"/>
      <c r="L1803" s="678"/>
      <c r="M1803" s="678"/>
      <c r="N1803" s="678"/>
      <c r="O1803" s="678"/>
      <c r="P1803" s="678"/>
      <c r="Q1803" s="678"/>
      <c r="R1803" s="678"/>
      <c r="S1803" s="678"/>
      <c r="T1803" s="678"/>
      <c r="U1803" s="678"/>
      <c r="V1803" s="678"/>
      <c r="W1803" s="678"/>
      <c r="X1803" s="678"/>
      <c r="Y1803" s="678"/>
      <c r="Z1803" s="678"/>
      <c r="AA1803" s="678"/>
      <c r="AB1803" s="702"/>
      <c r="AC1803" s="702"/>
      <c r="AD1803" s="702"/>
      <c r="AE1803" s="702"/>
      <c r="AF1803" s="702"/>
      <c r="AG1803" s="702"/>
      <c r="AH1803" s="702"/>
      <c r="AI1803" s="702"/>
      <c r="AJ1803" s="780"/>
    </row>
    <row r="1804" spans="1:36" ht="14">
      <c r="A1804" s="40">
        <v>212</v>
      </c>
      <c r="B1804" s="40"/>
      <c r="C1804" s="124"/>
      <c r="D1804" s="124"/>
      <c r="E1804" s="124"/>
      <c r="F1804" s="942" t="s">
        <v>414</v>
      </c>
      <c r="G1804" s="935"/>
      <c r="H1804" s="935"/>
      <c r="I1804" s="936"/>
      <c r="J1804" s="452"/>
      <c r="K1804" s="453"/>
      <c r="L1804" s="454"/>
      <c r="M1804" s="454"/>
      <c r="N1804" s="454"/>
      <c r="O1804" s="454"/>
      <c r="P1804" s="454"/>
      <c r="Q1804" s="454"/>
      <c r="R1804" s="454"/>
      <c r="S1804" s="454"/>
      <c r="T1804" s="454"/>
      <c r="U1804" s="454"/>
      <c r="V1804" s="454"/>
      <c r="W1804" s="454"/>
      <c r="X1804" s="454"/>
      <c r="Y1804" s="454"/>
      <c r="Z1804" s="454"/>
      <c r="AA1804" s="454"/>
      <c r="AB1804" s="454"/>
      <c r="AC1804" s="454"/>
      <c r="AD1804" s="454"/>
      <c r="AE1804" s="454"/>
      <c r="AF1804" s="454"/>
      <c r="AG1804" s="454"/>
      <c r="AH1804" s="454"/>
      <c r="AI1804" s="454"/>
      <c r="AJ1804" s="769"/>
    </row>
    <row r="1805" spans="1:36" ht="14">
      <c r="A1805" s="160"/>
      <c r="B1805" s="160"/>
      <c r="C1805" s="161">
        <v>1</v>
      </c>
      <c r="D1805" s="161"/>
      <c r="E1805" s="161"/>
      <c r="F1805" s="669"/>
      <c r="G1805" s="669"/>
      <c r="H1805" s="162" t="s">
        <v>35</v>
      </c>
      <c r="I1805" s="669"/>
      <c r="J1805" s="454"/>
      <c r="K1805" s="483"/>
      <c r="L1805" s="454"/>
      <c r="M1805" s="454"/>
      <c r="N1805" s="454"/>
      <c r="O1805" s="454"/>
      <c r="P1805" s="454"/>
      <c r="Q1805" s="454"/>
      <c r="R1805" s="454"/>
      <c r="S1805" s="454"/>
      <c r="T1805" s="454"/>
      <c r="U1805" s="454"/>
      <c r="V1805" s="454"/>
      <c r="W1805" s="454"/>
      <c r="X1805" s="454"/>
      <c r="Y1805" s="454"/>
      <c r="Z1805" s="454"/>
      <c r="AA1805" s="454"/>
      <c r="AB1805" s="454"/>
      <c r="AC1805" s="454"/>
      <c r="AD1805" s="454"/>
      <c r="AE1805" s="454"/>
      <c r="AF1805" s="454"/>
      <c r="AG1805" s="454"/>
      <c r="AH1805" s="454"/>
      <c r="AI1805" s="454"/>
      <c r="AJ1805" s="769"/>
    </row>
    <row r="1806" spans="1:36" ht="14">
      <c r="A1806" s="160"/>
      <c r="B1806" s="160"/>
      <c r="C1806" s="161"/>
      <c r="D1806" s="161">
        <v>1</v>
      </c>
      <c r="E1806" s="161" t="s">
        <v>199</v>
      </c>
      <c r="F1806" s="669"/>
      <c r="G1806" s="669"/>
      <c r="H1806" s="669"/>
      <c r="I1806" s="575" t="s">
        <v>609</v>
      </c>
      <c r="J1806" s="454"/>
      <c r="K1806" s="483"/>
      <c r="L1806" s="454"/>
      <c r="M1806" s="454"/>
      <c r="N1806" s="454"/>
      <c r="O1806" s="454"/>
      <c r="P1806" s="454"/>
      <c r="Q1806" s="454">
        <v>405955</v>
      </c>
      <c r="R1806" s="454"/>
      <c r="S1806" s="217">
        <f t="shared" ref="S1806:S1807" si="2102">SUM(M1806:R1806)</f>
        <v>405955</v>
      </c>
      <c r="T1806" s="217">
        <f t="shared" ref="T1806:T1807" si="2103">S1806+L1806</f>
        <v>405955</v>
      </c>
      <c r="U1806" s="454"/>
      <c r="V1806" s="454"/>
      <c r="W1806" s="454"/>
      <c r="X1806" s="454"/>
      <c r="Y1806" s="454"/>
      <c r="Z1806" s="217">
        <f>SUM(U1806:Y1806)</f>
        <v>0</v>
      </c>
      <c r="AA1806" s="217">
        <f>Z1806+T1806</f>
        <v>405955</v>
      </c>
      <c r="AB1806" s="454"/>
      <c r="AC1806" s="454"/>
      <c r="AD1806" s="454"/>
      <c r="AE1806" s="454"/>
      <c r="AF1806" s="454"/>
      <c r="AG1806" s="217">
        <f t="shared" ref="AG1806:AG1807" si="2104">SUM(AB1806:AF1806)</f>
        <v>0</v>
      </c>
      <c r="AH1806" s="217">
        <f t="shared" ref="AH1806:AH1807" si="2105">AG1806+AA1806</f>
        <v>405955</v>
      </c>
      <c r="AI1806" s="217"/>
      <c r="AJ1806" s="764"/>
    </row>
    <row r="1807" spans="1:36" ht="14">
      <c r="A1807" s="160"/>
      <c r="B1807" s="160"/>
      <c r="C1807" s="161"/>
      <c r="D1807" s="161">
        <v>2</v>
      </c>
      <c r="E1807" s="161" t="s">
        <v>199</v>
      </c>
      <c r="F1807" s="669"/>
      <c r="G1807" s="669"/>
      <c r="H1807" s="669"/>
      <c r="I1807" s="575" t="s">
        <v>182</v>
      </c>
      <c r="J1807" s="454"/>
      <c r="K1807" s="483"/>
      <c r="L1807" s="454"/>
      <c r="M1807" s="454"/>
      <c r="N1807" s="454"/>
      <c r="O1807" s="454"/>
      <c r="P1807" s="454"/>
      <c r="Q1807" s="454">
        <v>71245</v>
      </c>
      <c r="R1807" s="454"/>
      <c r="S1807" s="217">
        <f t="shared" si="2102"/>
        <v>71245</v>
      </c>
      <c r="T1807" s="217">
        <f t="shared" si="2103"/>
        <v>71245</v>
      </c>
      <c r="U1807" s="454"/>
      <c r="V1807" s="454"/>
      <c r="W1807" s="454"/>
      <c r="X1807" s="454"/>
      <c r="Y1807" s="454"/>
      <c r="Z1807" s="217">
        <f>SUM(U1807:Y1807)</f>
        <v>0</v>
      </c>
      <c r="AA1807" s="217">
        <f>Z1807+T1807</f>
        <v>71245</v>
      </c>
      <c r="AB1807" s="454"/>
      <c r="AC1807" s="454"/>
      <c r="AD1807" s="454"/>
      <c r="AE1807" s="454"/>
      <c r="AF1807" s="454"/>
      <c r="AG1807" s="217">
        <f t="shared" si="2104"/>
        <v>0</v>
      </c>
      <c r="AH1807" s="217">
        <f t="shared" si="2105"/>
        <v>71245</v>
      </c>
      <c r="AI1807" s="217"/>
      <c r="AJ1807" s="764"/>
    </row>
    <row r="1808" spans="1:36" ht="14">
      <c r="A1808" s="40"/>
      <c r="B1808" s="40"/>
      <c r="C1808" s="124">
        <v>2</v>
      </c>
      <c r="D1808" s="124"/>
      <c r="E1808" s="124"/>
      <c r="F1808" s="41"/>
      <c r="G1808" s="41"/>
      <c r="H1808" s="162" t="s">
        <v>211</v>
      </c>
      <c r="I1808" s="125"/>
      <c r="J1808" s="524"/>
      <c r="K1808" s="525"/>
      <c r="L1808" s="526"/>
      <c r="M1808" s="526"/>
      <c r="N1808" s="526"/>
      <c r="O1808" s="526"/>
      <c r="P1808" s="526"/>
      <c r="Q1808" s="526"/>
      <c r="R1808" s="526"/>
      <c r="S1808" s="217"/>
      <c r="T1808" s="217"/>
      <c r="U1808" s="526"/>
      <c r="V1808" s="526"/>
      <c r="W1808" s="526"/>
      <c r="X1808" s="526"/>
      <c r="Y1808" s="526"/>
      <c r="Z1808" s="217"/>
      <c r="AA1808" s="217"/>
      <c r="AB1808" s="526"/>
      <c r="AC1808" s="526"/>
      <c r="AD1808" s="526"/>
      <c r="AE1808" s="526"/>
      <c r="AF1808" s="526"/>
      <c r="AG1808" s="217"/>
      <c r="AH1808" s="217"/>
      <c r="AI1808" s="217"/>
      <c r="AJ1808" s="764"/>
    </row>
    <row r="1809" spans="1:36" ht="14">
      <c r="A1809" s="40"/>
      <c r="B1809" s="40"/>
      <c r="C1809" s="124"/>
      <c r="D1809" s="124">
        <v>6</v>
      </c>
      <c r="E1809" s="124" t="s">
        <v>199</v>
      </c>
      <c r="F1809" s="41"/>
      <c r="G1809" s="41"/>
      <c r="H1809" s="163"/>
      <c r="I1809" s="125" t="s">
        <v>213</v>
      </c>
      <c r="J1809" s="524"/>
      <c r="K1809" s="525">
        <v>37000000</v>
      </c>
      <c r="L1809" s="454">
        <f>SUM(J1809:K1809)</f>
        <v>37000000</v>
      </c>
      <c r="M1809" s="454">
        <v>1858900</v>
      </c>
      <c r="N1809" s="454"/>
      <c r="O1809" s="454"/>
      <c r="P1809" s="454"/>
      <c r="Q1809" s="454"/>
      <c r="R1809" s="454"/>
      <c r="S1809" s="217">
        <f t="shared" ref="S1809" si="2106">SUM(M1809:R1809)</f>
        <v>1858900</v>
      </c>
      <c r="T1809" s="217">
        <f t="shared" ref="T1809" si="2107">S1809+L1809</f>
        <v>38858900</v>
      </c>
      <c r="U1809" s="454"/>
      <c r="V1809" s="454"/>
      <c r="W1809" s="454"/>
      <c r="X1809" s="454"/>
      <c r="Y1809" s="454"/>
      <c r="Z1809" s="217">
        <f>SUM(U1809:Y1809)</f>
        <v>0</v>
      </c>
      <c r="AA1809" s="217">
        <f>Z1809+T1809</f>
        <v>38858900</v>
      </c>
      <c r="AB1809" s="454"/>
      <c r="AC1809" s="454"/>
      <c r="AD1809" s="454"/>
      <c r="AE1809" s="454"/>
      <c r="AF1809" s="454"/>
      <c r="AG1809" s="217">
        <f t="shared" ref="AG1809" si="2108">SUM(AB1809:AF1809)</f>
        <v>0</v>
      </c>
      <c r="AH1809" s="217">
        <f t="shared" ref="AH1809" si="2109">AG1809+AA1809</f>
        <v>38858900</v>
      </c>
      <c r="AI1809" s="217">
        <v>37166048</v>
      </c>
      <c r="AJ1809" s="764">
        <f t="shared" ref="AJ1809" si="2110">AI1809/AH1809*100</f>
        <v>95.643592587541079</v>
      </c>
    </row>
    <row r="1810" spans="1:36" ht="14">
      <c r="A1810" s="40"/>
      <c r="B1810" s="40"/>
      <c r="C1810" s="124"/>
      <c r="D1810" s="124"/>
      <c r="E1810" s="124"/>
      <c r="F1810" s="41"/>
      <c r="G1810" s="41"/>
      <c r="H1810" s="163"/>
      <c r="I1810" s="125"/>
      <c r="J1810" s="524"/>
      <c r="K1810" s="525"/>
      <c r="L1810" s="526"/>
      <c r="M1810" s="526"/>
      <c r="N1810" s="526"/>
      <c r="O1810" s="526"/>
      <c r="P1810" s="526"/>
      <c r="Q1810" s="526"/>
      <c r="R1810" s="526"/>
      <c r="S1810" s="526"/>
      <c r="T1810" s="526"/>
      <c r="U1810" s="526"/>
      <c r="V1810" s="526"/>
      <c r="W1810" s="526"/>
      <c r="X1810" s="526"/>
      <c r="Y1810" s="526"/>
      <c r="Z1810" s="526"/>
      <c r="AA1810" s="526"/>
      <c r="AB1810" s="526"/>
      <c r="AC1810" s="526"/>
      <c r="AD1810" s="526"/>
      <c r="AE1810" s="526"/>
      <c r="AF1810" s="526"/>
      <c r="AG1810" s="526"/>
      <c r="AH1810" s="526"/>
      <c r="AI1810" s="526"/>
      <c r="AJ1810" s="779"/>
    </row>
    <row r="1811" spans="1:36" ht="14">
      <c r="A1811" s="40"/>
      <c r="B1811" s="40"/>
      <c r="C1811" s="124"/>
      <c r="D1811" s="124"/>
      <c r="E1811" s="124"/>
      <c r="F1811" s="42"/>
      <c r="G1811" s="42"/>
      <c r="H1811" s="165"/>
      <c r="I1811" s="166" t="s">
        <v>37</v>
      </c>
      <c r="J1811" s="528"/>
      <c r="K1811" s="529">
        <f>SUM(K1803:K1810)</f>
        <v>37000000</v>
      </c>
      <c r="L1811" s="530">
        <f>SUM(L1803:L1810)</f>
        <v>37000000</v>
      </c>
      <c r="M1811" s="530">
        <f>SUM(M1803:M1810)</f>
        <v>1858900</v>
      </c>
      <c r="N1811" s="530">
        <f t="shared" ref="N1811:T1811" si="2111">SUM(N1803:N1810)</f>
        <v>0</v>
      </c>
      <c r="O1811" s="530">
        <f t="shared" si="2111"/>
        <v>0</v>
      </c>
      <c r="P1811" s="530">
        <f t="shared" si="2111"/>
        <v>0</v>
      </c>
      <c r="Q1811" s="530">
        <f t="shared" si="2111"/>
        <v>477200</v>
      </c>
      <c r="R1811" s="530">
        <f t="shared" si="2111"/>
        <v>0</v>
      </c>
      <c r="S1811" s="530">
        <f t="shared" si="2111"/>
        <v>2336100</v>
      </c>
      <c r="T1811" s="530">
        <f t="shared" si="2111"/>
        <v>39336100</v>
      </c>
      <c r="U1811" s="530"/>
      <c r="V1811" s="530"/>
      <c r="W1811" s="530"/>
      <c r="X1811" s="530"/>
      <c r="Y1811" s="530"/>
      <c r="Z1811" s="530">
        <f t="shared" ref="Z1811:AA1811" si="2112">SUM(Z1803:Z1810)</f>
        <v>0</v>
      </c>
      <c r="AA1811" s="530">
        <f t="shared" si="2112"/>
        <v>39336100</v>
      </c>
      <c r="AB1811" s="530"/>
      <c r="AC1811" s="530"/>
      <c r="AD1811" s="530"/>
      <c r="AE1811" s="530"/>
      <c r="AF1811" s="530"/>
      <c r="AG1811" s="530">
        <f t="shared" ref="AG1811:AI1811" si="2113">SUM(AG1803:AG1810)</f>
        <v>0</v>
      </c>
      <c r="AH1811" s="530">
        <f t="shared" si="2113"/>
        <v>39336100</v>
      </c>
      <c r="AI1811" s="530">
        <f t="shared" si="2113"/>
        <v>37166048</v>
      </c>
      <c r="AJ1811" s="776">
        <f>AI1811/AH1811*100</f>
        <v>94.483306682665543</v>
      </c>
    </row>
    <row r="1812" spans="1:36" ht="14">
      <c r="A1812" s="40"/>
      <c r="B1812" s="40"/>
      <c r="C1812" s="124"/>
      <c r="D1812" s="124"/>
      <c r="E1812" s="124"/>
      <c r="F1812" s="41"/>
      <c r="G1812" s="41"/>
      <c r="H1812" s="63"/>
      <c r="I1812" s="41"/>
      <c r="J1812" s="680"/>
      <c r="K1812" s="679"/>
      <c r="L1812" s="678"/>
      <c r="M1812" s="678"/>
      <c r="N1812" s="678"/>
      <c r="O1812" s="678"/>
      <c r="P1812" s="678"/>
      <c r="Q1812" s="678"/>
      <c r="R1812" s="678"/>
      <c r="S1812" s="678"/>
      <c r="T1812" s="678"/>
      <c r="U1812" s="678"/>
      <c r="V1812" s="678"/>
      <c r="W1812" s="678"/>
      <c r="X1812" s="678"/>
      <c r="Y1812" s="678"/>
      <c r="Z1812" s="678"/>
      <c r="AA1812" s="678"/>
      <c r="AB1812" s="702"/>
      <c r="AC1812" s="702"/>
      <c r="AD1812" s="702"/>
      <c r="AE1812" s="702"/>
      <c r="AF1812" s="702"/>
      <c r="AG1812" s="702"/>
      <c r="AH1812" s="702"/>
      <c r="AI1812" s="702"/>
      <c r="AJ1812" s="780"/>
    </row>
    <row r="1813" spans="1:36" ht="14">
      <c r="A1813" s="40">
        <v>213</v>
      </c>
      <c r="B1813" s="40"/>
      <c r="C1813" s="124"/>
      <c r="D1813" s="124"/>
      <c r="E1813" s="124"/>
      <c r="F1813" s="942" t="s">
        <v>415</v>
      </c>
      <c r="G1813" s="935"/>
      <c r="H1813" s="935"/>
      <c r="I1813" s="936"/>
      <c r="J1813" s="452"/>
      <c r="K1813" s="453"/>
      <c r="L1813" s="454"/>
      <c r="M1813" s="454"/>
      <c r="N1813" s="454"/>
      <c r="O1813" s="454"/>
      <c r="P1813" s="454"/>
      <c r="Q1813" s="454"/>
      <c r="R1813" s="454"/>
      <c r="S1813" s="454"/>
      <c r="T1813" s="454"/>
      <c r="U1813" s="454"/>
      <c r="V1813" s="454"/>
      <c r="W1813" s="454"/>
      <c r="X1813" s="454"/>
      <c r="Y1813" s="454"/>
      <c r="Z1813" s="454"/>
      <c r="AA1813" s="454"/>
      <c r="AB1813" s="454"/>
      <c r="AC1813" s="454"/>
      <c r="AD1813" s="454"/>
      <c r="AE1813" s="454"/>
      <c r="AF1813" s="454"/>
      <c r="AG1813" s="454"/>
      <c r="AH1813" s="454"/>
      <c r="AI1813" s="454"/>
      <c r="AJ1813" s="769"/>
    </row>
    <row r="1814" spans="1:36" ht="14">
      <c r="A1814" s="40"/>
      <c r="B1814" s="40"/>
      <c r="C1814" s="124">
        <v>2</v>
      </c>
      <c r="D1814" s="124"/>
      <c r="E1814" s="124"/>
      <c r="F1814" s="41"/>
      <c r="G1814" s="41"/>
      <c r="H1814" s="162" t="s">
        <v>211</v>
      </c>
      <c r="I1814" s="125"/>
      <c r="J1814" s="524"/>
      <c r="K1814" s="525"/>
      <c r="L1814" s="526"/>
      <c r="M1814" s="526"/>
      <c r="N1814" s="526"/>
      <c r="O1814" s="526"/>
      <c r="P1814" s="526"/>
      <c r="Q1814" s="526"/>
      <c r="R1814" s="526"/>
      <c r="S1814" s="526"/>
      <c r="T1814" s="526"/>
      <c r="U1814" s="526"/>
      <c r="V1814" s="526"/>
      <c r="W1814" s="526"/>
      <c r="X1814" s="526"/>
      <c r="Y1814" s="526"/>
      <c r="Z1814" s="526"/>
      <c r="AA1814" s="526"/>
      <c r="AB1814" s="526"/>
      <c r="AC1814" s="526"/>
      <c r="AD1814" s="526"/>
      <c r="AE1814" s="526"/>
      <c r="AF1814" s="526"/>
      <c r="AG1814" s="526"/>
      <c r="AH1814" s="526"/>
      <c r="AI1814" s="526"/>
      <c r="AJ1814" s="779"/>
    </row>
    <row r="1815" spans="1:36" ht="14">
      <c r="A1815" s="40"/>
      <c r="B1815" s="40"/>
      <c r="C1815" s="124"/>
      <c r="D1815" s="124">
        <v>6</v>
      </c>
      <c r="E1815" s="124" t="s">
        <v>199</v>
      </c>
      <c r="F1815" s="41"/>
      <c r="G1815" s="41"/>
      <c r="H1815" s="163"/>
      <c r="I1815" s="125" t="s">
        <v>213</v>
      </c>
      <c r="J1815" s="524"/>
      <c r="K1815" s="525">
        <v>2000000</v>
      </c>
      <c r="L1815" s="454">
        <f>SUM(J1815:K1815)</f>
        <v>2000000</v>
      </c>
      <c r="M1815" s="454">
        <v>1554000</v>
      </c>
      <c r="N1815" s="454"/>
      <c r="O1815" s="454"/>
      <c r="P1815" s="454"/>
      <c r="Q1815" s="454">
        <v>322994</v>
      </c>
      <c r="R1815" s="454"/>
      <c r="S1815" s="217">
        <f t="shared" ref="S1815" si="2114">SUM(M1815:R1815)</f>
        <v>1876994</v>
      </c>
      <c r="T1815" s="217">
        <f t="shared" ref="T1815" si="2115">S1815+L1815</f>
        <v>3876994</v>
      </c>
      <c r="U1815" s="454"/>
      <c r="V1815" s="454"/>
      <c r="W1815" s="454"/>
      <c r="X1815" s="454"/>
      <c r="Y1815" s="454"/>
      <c r="Z1815" s="217">
        <f>SUM(U1815:Y1815)</f>
        <v>0</v>
      </c>
      <c r="AA1815" s="217">
        <f>Z1815+T1815</f>
        <v>3876994</v>
      </c>
      <c r="AB1815" s="454"/>
      <c r="AC1815" s="454"/>
      <c r="AD1815" s="454"/>
      <c r="AE1815" s="454"/>
      <c r="AF1815" s="454"/>
      <c r="AG1815" s="217">
        <f t="shared" ref="AG1815" si="2116">SUM(AB1815:AF1815)</f>
        <v>0</v>
      </c>
      <c r="AH1815" s="217">
        <f t="shared" ref="AH1815" si="2117">AG1815+AA1815</f>
        <v>3876994</v>
      </c>
      <c r="AI1815" s="217">
        <v>2322994</v>
      </c>
      <c r="AJ1815" s="764">
        <f t="shared" ref="AJ1815" si="2118">AI1815/AH1815*100</f>
        <v>59.917399923755369</v>
      </c>
    </row>
    <row r="1816" spans="1:36" ht="14">
      <c r="A1816" s="40"/>
      <c r="B1816" s="40"/>
      <c r="C1816" s="124"/>
      <c r="D1816" s="124"/>
      <c r="E1816" s="124"/>
      <c r="F1816" s="41"/>
      <c r="G1816" s="41"/>
      <c r="H1816" s="163"/>
      <c r="I1816" s="125"/>
      <c r="J1816" s="524"/>
      <c r="K1816" s="525"/>
      <c r="L1816" s="526"/>
      <c r="M1816" s="526"/>
      <c r="N1816" s="526"/>
      <c r="O1816" s="526"/>
      <c r="P1816" s="526"/>
      <c r="Q1816" s="526"/>
      <c r="R1816" s="526"/>
      <c r="S1816" s="526"/>
      <c r="T1816" s="526"/>
      <c r="U1816" s="526"/>
      <c r="V1816" s="526"/>
      <c r="W1816" s="526"/>
      <c r="X1816" s="526"/>
      <c r="Y1816" s="526"/>
      <c r="Z1816" s="526"/>
      <c r="AA1816" s="526"/>
      <c r="AB1816" s="526"/>
      <c r="AC1816" s="526"/>
      <c r="AD1816" s="526"/>
      <c r="AE1816" s="526"/>
      <c r="AF1816" s="526"/>
      <c r="AG1816" s="526"/>
      <c r="AH1816" s="526"/>
      <c r="AI1816" s="526"/>
      <c r="AJ1816" s="779"/>
    </row>
    <row r="1817" spans="1:36" ht="14">
      <c r="A1817" s="40"/>
      <c r="B1817" s="40"/>
      <c r="C1817" s="124"/>
      <c r="D1817" s="124"/>
      <c r="E1817" s="124"/>
      <c r="F1817" s="42"/>
      <c r="G1817" s="42"/>
      <c r="H1817" s="165"/>
      <c r="I1817" s="166" t="s">
        <v>37</v>
      </c>
      <c r="J1817" s="528"/>
      <c r="K1817" s="529">
        <f>SUM(K1812:K1816)</f>
        <v>2000000</v>
      </c>
      <c r="L1817" s="530">
        <f>SUM(L1812:L1816)</f>
        <v>2000000</v>
      </c>
      <c r="M1817" s="530">
        <f>SUM(M1812:M1816)</f>
        <v>1554000</v>
      </c>
      <c r="N1817" s="530">
        <f t="shared" ref="N1817:T1817" si="2119">SUM(N1812:N1816)</f>
        <v>0</v>
      </c>
      <c r="O1817" s="530">
        <f t="shared" si="2119"/>
        <v>0</v>
      </c>
      <c r="P1817" s="530">
        <f t="shared" si="2119"/>
        <v>0</v>
      </c>
      <c r="Q1817" s="530">
        <f t="shared" si="2119"/>
        <v>322994</v>
      </c>
      <c r="R1817" s="530">
        <f t="shared" si="2119"/>
        <v>0</v>
      </c>
      <c r="S1817" s="530">
        <f t="shared" si="2119"/>
        <v>1876994</v>
      </c>
      <c r="T1817" s="530">
        <f t="shared" si="2119"/>
        <v>3876994</v>
      </c>
      <c r="U1817" s="530"/>
      <c r="V1817" s="530"/>
      <c r="W1817" s="530"/>
      <c r="X1817" s="530"/>
      <c r="Y1817" s="530"/>
      <c r="Z1817" s="530">
        <f t="shared" ref="Z1817:AA1817" si="2120">SUM(Z1812:Z1816)</f>
        <v>0</v>
      </c>
      <c r="AA1817" s="530">
        <f t="shared" si="2120"/>
        <v>3876994</v>
      </c>
      <c r="AB1817" s="530"/>
      <c r="AC1817" s="530"/>
      <c r="AD1817" s="530"/>
      <c r="AE1817" s="530"/>
      <c r="AF1817" s="530"/>
      <c r="AG1817" s="530">
        <f t="shared" ref="AG1817:AI1817" si="2121">SUM(AG1812:AG1816)</f>
        <v>0</v>
      </c>
      <c r="AH1817" s="530">
        <f t="shared" si="2121"/>
        <v>3876994</v>
      </c>
      <c r="AI1817" s="530">
        <f t="shared" si="2121"/>
        <v>2322994</v>
      </c>
      <c r="AJ1817" s="776">
        <f>AI1817/AH1817*100</f>
        <v>59.917399923755369</v>
      </c>
    </row>
    <row r="1818" spans="1:36" ht="14">
      <c r="A1818" s="40"/>
      <c r="B1818" s="40"/>
      <c r="C1818" s="124"/>
      <c r="D1818" s="124"/>
      <c r="E1818" s="124"/>
      <c r="F1818" s="41"/>
      <c r="G1818" s="41"/>
      <c r="H1818" s="63"/>
      <c r="I1818" s="41"/>
      <c r="J1818" s="680"/>
      <c r="K1818" s="679"/>
      <c r="L1818" s="678"/>
      <c r="M1818" s="678"/>
      <c r="N1818" s="678"/>
      <c r="O1818" s="678"/>
      <c r="P1818" s="678"/>
      <c r="Q1818" s="678"/>
      <c r="R1818" s="678"/>
      <c r="S1818" s="678"/>
      <c r="T1818" s="678"/>
      <c r="U1818" s="678"/>
      <c r="V1818" s="678"/>
      <c r="W1818" s="678"/>
      <c r="X1818" s="678"/>
      <c r="Y1818" s="678"/>
      <c r="Z1818" s="678"/>
      <c r="AA1818" s="678"/>
      <c r="AB1818" s="702"/>
      <c r="AC1818" s="702"/>
      <c r="AD1818" s="702"/>
      <c r="AE1818" s="702"/>
      <c r="AF1818" s="702"/>
      <c r="AG1818" s="702"/>
      <c r="AH1818" s="702"/>
      <c r="AI1818" s="702"/>
      <c r="AJ1818" s="780"/>
    </row>
    <row r="1819" spans="1:36" ht="26.5" customHeight="1">
      <c r="A1819" s="40">
        <v>214</v>
      </c>
      <c r="B1819" s="40"/>
      <c r="C1819" s="124"/>
      <c r="D1819" s="124"/>
      <c r="E1819" s="124"/>
      <c r="F1819" s="954" t="s">
        <v>464</v>
      </c>
      <c r="G1819" s="935"/>
      <c r="H1819" s="935"/>
      <c r="I1819" s="936"/>
      <c r="J1819" s="452"/>
      <c r="K1819" s="453"/>
      <c r="L1819" s="454"/>
      <c r="M1819" s="454"/>
      <c r="N1819" s="454"/>
      <c r="O1819" s="454"/>
      <c r="P1819" s="454"/>
      <c r="Q1819" s="454"/>
      <c r="R1819" s="454"/>
      <c r="S1819" s="454"/>
      <c r="T1819" s="454"/>
      <c r="U1819" s="454"/>
      <c r="V1819" s="454"/>
      <c r="W1819" s="454"/>
      <c r="X1819" s="454"/>
      <c r="Y1819" s="454"/>
      <c r="Z1819" s="454"/>
      <c r="AA1819" s="454"/>
      <c r="AB1819" s="454"/>
      <c r="AC1819" s="454"/>
      <c r="AD1819" s="454"/>
      <c r="AE1819" s="454"/>
      <c r="AF1819" s="454"/>
      <c r="AG1819" s="454"/>
      <c r="AH1819" s="454"/>
      <c r="AI1819" s="454"/>
      <c r="AJ1819" s="769"/>
    </row>
    <row r="1820" spans="1:36" ht="14">
      <c r="A1820" s="40"/>
      <c r="B1820" s="40"/>
      <c r="C1820" s="124">
        <v>1</v>
      </c>
      <c r="D1820" s="124"/>
      <c r="E1820" s="124"/>
      <c r="F1820" s="41"/>
      <c r="G1820" s="41"/>
      <c r="H1820" s="163" t="s">
        <v>35</v>
      </c>
      <c r="I1820" s="66"/>
      <c r="J1820" s="452"/>
      <c r="K1820" s="453"/>
      <c r="L1820" s="454"/>
      <c r="M1820" s="454"/>
      <c r="N1820" s="454"/>
      <c r="O1820" s="454"/>
      <c r="P1820" s="454"/>
      <c r="Q1820" s="454"/>
      <c r="R1820" s="454"/>
      <c r="S1820" s="454"/>
      <c r="T1820" s="454"/>
      <c r="U1820" s="454"/>
      <c r="V1820" s="454"/>
      <c r="W1820" s="454"/>
      <c r="X1820" s="454"/>
      <c r="Y1820" s="454"/>
      <c r="Z1820" s="454"/>
      <c r="AA1820" s="454"/>
      <c r="AB1820" s="454"/>
      <c r="AC1820" s="454"/>
      <c r="AD1820" s="454"/>
      <c r="AE1820" s="454"/>
      <c r="AF1820" s="454"/>
      <c r="AG1820" s="454"/>
      <c r="AH1820" s="454"/>
      <c r="AI1820" s="454"/>
      <c r="AJ1820" s="769"/>
    </row>
    <row r="1821" spans="1:36" ht="14">
      <c r="A1821" s="40"/>
      <c r="B1821" s="40"/>
      <c r="C1821" s="124"/>
      <c r="D1821" s="124">
        <v>3</v>
      </c>
      <c r="E1821" s="124" t="s">
        <v>199</v>
      </c>
      <c r="F1821" s="41"/>
      <c r="G1821" s="41"/>
      <c r="H1821" s="162"/>
      <c r="I1821" s="125" t="s">
        <v>116</v>
      </c>
      <c r="J1821" s="452">
        <v>1000000</v>
      </c>
      <c r="K1821" s="453"/>
      <c r="L1821" s="454">
        <f>SUM(J1821:K1821)</f>
        <v>1000000</v>
      </c>
      <c r="M1821" s="454"/>
      <c r="N1821" s="454"/>
      <c r="O1821" s="454"/>
      <c r="P1821" s="454"/>
      <c r="Q1821" s="454"/>
      <c r="R1821" s="454"/>
      <c r="S1821" s="217">
        <f t="shared" ref="S1821:S1823" si="2122">SUM(M1821:R1821)</f>
        <v>0</v>
      </c>
      <c r="T1821" s="217">
        <f t="shared" ref="T1821:T1823" si="2123">S1821+L1821</f>
        <v>1000000</v>
      </c>
      <c r="U1821" s="454"/>
      <c r="V1821" s="454"/>
      <c r="W1821" s="454"/>
      <c r="X1821" s="454"/>
      <c r="Y1821" s="454"/>
      <c r="Z1821" s="217">
        <f>SUM(U1821:Y1821)</f>
        <v>0</v>
      </c>
      <c r="AA1821" s="217">
        <f>Z1821+T1821</f>
        <v>1000000</v>
      </c>
      <c r="AB1821" s="454"/>
      <c r="AC1821" s="454"/>
      <c r="AD1821" s="454"/>
      <c r="AE1821" s="454"/>
      <c r="AF1821" s="454"/>
      <c r="AG1821" s="217">
        <f t="shared" ref="AG1821" si="2124">SUM(AB1821:AF1821)</f>
        <v>0</v>
      </c>
      <c r="AH1821" s="217">
        <f t="shared" ref="AH1821" si="2125">AG1821+AA1821</f>
        <v>1000000</v>
      </c>
      <c r="AI1821" s="217"/>
      <c r="AJ1821" s="764"/>
    </row>
    <row r="1822" spans="1:36" ht="14">
      <c r="A1822" s="40"/>
      <c r="B1822" s="40"/>
      <c r="C1822" s="124">
        <v>2</v>
      </c>
      <c r="D1822" s="124"/>
      <c r="E1822" s="124"/>
      <c r="F1822" s="41"/>
      <c r="G1822" s="41"/>
      <c r="H1822" s="162" t="s">
        <v>211</v>
      </c>
      <c r="I1822" s="125"/>
      <c r="J1822" s="524"/>
      <c r="K1822" s="525"/>
      <c r="L1822" s="454"/>
      <c r="M1822" s="454"/>
      <c r="N1822" s="454"/>
      <c r="O1822" s="454"/>
      <c r="P1822" s="454"/>
      <c r="Q1822" s="454"/>
      <c r="R1822" s="454"/>
      <c r="S1822" s="217"/>
      <c r="T1822" s="217"/>
      <c r="U1822" s="454"/>
      <c r="V1822" s="454"/>
      <c r="W1822" s="454"/>
      <c r="X1822" s="454"/>
      <c r="Y1822" s="454"/>
      <c r="Z1822" s="217"/>
      <c r="AA1822" s="217"/>
      <c r="AB1822" s="454"/>
      <c r="AC1822" s="454"/>
      <c r="AD1822" s="454"/>
      <c r="AE1822" s="454"/>
      <c r="AF1822" s="454"/>
      <c r="AG1822" s="217"/>
      <c r="AH1822" s="217"/>
      <c r="AI1822" s="217"/>
      <c r="AJ1822" s="764"/>
    </row>
    <row r="1823" spans="1:36" ht="14">
      <c r="A1823" s="40"/>
      <c r="B1823" s="40"/>
      <c r="C1823" s="124"/>
      <c r="D1823" s="124">
        <v>6</v>
      </c>
      <c r="E1823" s="124" t="s">
        <v>199</v>
      </c>
      <c r="F1823" s="41"/>
      <c r="G1823" s="41"/>
      <c r="H1823" s="163"/>
      <c r="I1823" s="125" t="s">
        <v>213</v>
      </c>
      <c r="J1823" s="524"/>
      <c r="K1823" s="525">
        <v>3000000</v>
      </c>
      <c r="L1823" s="454">
        <f>SUM(J1823:K1823)</f>
        <v>3000000</v>
      </c>
      <c r="M1823" s="454"/>
      <c r="N1823" s="454"/>
      <c r="O1823" s="454"/>
      <c r="P1823" s="454"/>
      <c r="Q1823" s="454"/>
      <c r="R1823" s="454"/>
      <c r="S1823" s="217">
        <f t="shared" si="2122"/>
        <v>0</v>
      </c>
      <c r="T1823" s="217">
        <f t="shared" si="2123"/>
        <v>3000000</v>
      </c>
      <c r="U1823" s="454"/>
      <c r="V1823" s="454"/>
      <c r="W1823" s="454"/>
      <c r="X1823" s="454"/>
      <c r="Y1823" s="454"/>
      <c r="Z1823" s="217">
        <f>SUM(U1823:Y1823)</f>
        <v>0</v>
      </c>
      <c r="AA1823" s="217">
        <f>Z1823+T1823</f>
        <v>3000000</v>
      </c>
      <c r="AB1823" s="454"/>
      <c r="AC1823" s="454">
        <v>-2644790</v>
      </c>
      <c r="AD1823" s="454"/>
      <c r="AE1823" s="454"/>
      <c r="AF1823" s="454"/>
      <c r="AG1823" s="217">
        <f t="shared" ref="AG1823" si="2126">SUM(AB1823:AF1823)</f>
        <v>-2644790</v>
      </c>
      <c r="AH1823" s="217">
        <f t="shared" ref="AH1823" si="2127">AG1823+AA1823</f>
        <v>355210</v>
      </c>
      <c r="AI1823" s="217"/>
      <c r="AJ1823" s="764"/>
    </row>
    <row r="1824" spans="1:36" ht="14">
      <c r="A1824" s="40"/>
      <c r="B1824" s="40"/>
      <c r="C1824" s="124"/>
      <c r="D1824" s="124"/>
      <c r="E1824" s="124"/>
      <c r="F1824" s="41"/>
      <c r="G1824" s="41"/>
      <c r="H1824" s="163"/>
      <c r="I1824" s="125"/>
      <c r="J1824" s="524"/>
      <c r="K1824" s="525"/>
      <c r="L1824" s="526"/>
      <c r="M1824" s="526"/>
      <c r="N1824" s="526"/>
      <c r="O1824" s="526"/>
      <c r="P1824" s="526"/>
      <c r="Q1824" s="526"/>
      <c r="R1824" s="526"/>
      <c r="S1824" s="526"/>
      <c r="T1824" s="526"/>
      <c r="U1824" s="526"/>
      <c r="V1824" s="526"/>
      <c r="W1824" s="526"/>
      <c r="X1824" s="526"/>
      <c r="Y1824" s="526"/>
      <c r="Z1824" s="526"/>
      <c r="AA1824" s="526"/>
      <c r="AB1824" s="526"/>
      <c r="AC1824" s="526"/>
      <c r="AD1824" s="526"/>
      <c r="AE1824" s="526"/>
      <c r="AF1824" s="526"/>
      <c r="AG1824" s="526"/>
      <c r="AH1824" s="526"/>
      <c r="AI1824" s="526"/>
      <c r="AJ1824" s="779"/>
    </row>
    <row r="1825" spans="1:36" ht="14">
      <c r="A1825" s="40"/>
      <c r="B1825" s="40"/>
      <c r="C1825" s="124"/>
      <c r="D1825" s="124"/>
      <c r="E1825" s="124"/>
      <c r="F1825" s="42"/>
      <c r="G1825" s="42"/>
      <c r="H1825" s="165"/>
      <c r="I1825" s="166" t="s">
        <v>37</v>
      </c>
      <c r="J1825" s="528">
        <f>SUM(J1818:J1824)</f>
        <v>1000000</v>
      </c>
      <c r="K1825" s="529">
        <f>SUM(K1818:K1824)</f>
        <v>3000000</v>
      </c>
      <c r="L1825" s="530">
        <f>SUM(L1818:L1824)</f>
        <v>4000000</v>
      </c>
      <c r="M1825" s="530">
        <f t="shared" ref="M1825:T1825" si="2128">SUM(M1818:M1824)</f>
        <v>0</v>
      </c>
      <c r="N1825" s="530">
        <f t="shared" si="2128"/>
        <v>0</v>
      </c>
      <c r="O1825" s="530">
        <f t="shared" si="2128"/>
        <v>0</v>
      </c>
      <c r="P1825" s="530">
        <f t="shared" si="2128"/>
        <v>0</v>
      </c>
      <c r="Q1825" s="530">
        <f t="shared" si="2128"/>
        <v>0</v>
      </c>
      <c r="R1825" s="530">
        <f t="shared" si="2128"/>
        <v>0</v>
      </c>
      <c r="S1825" s="530">
        <f t="shared" si="2128"/>
        <v>0</v>
      </c>
      <c r="T1825" s="530">
        <f t="shared" si="2128"/>
        <v>4000000</v>
      </c>
      <c r="U1825" s="530"/>
      <c r="V1825" s="530"/>
      <c r="W1825" s="530"/>
      <c r="X1825" s="530"/>
      <c r="Y1825" s="530"/>
      <c r="Z1825" s="530">
        <f t="shared" ref="Z1825:AA1825" si="2129">SUM(Z1818:Z1824)</f>
        <v>0</v>
      </c>
      <c r="AA1825" s="530">
        <f t="shared" si="2129"/>
        <v>4000000</v>
      </c>
      <c r="AB1825" s="530"/>
      <c r="AC1825" s="530">
        <f t="shared" ref="AC1825" si="2130">SUM(AC1818:AC1824)</f>
        <v>-2644790</v>
      </c>
      <c r="AD1825" s="530"/>
      <c r="AE1825" s="530"/>
      <c r="AF1825" s="530"/>
      <c r="AG1825" s="530">
        <f t="shared" ref="AG1825:AH1825" si="2131">SUM(AG1818:AG1824)</f>
        <v>-2644790</v>
      </c>
      <c r="AH1825" s="530">
        <f t="shared" si="2131"/>
        <v>1355210</v>
      </c>
      <c r="AI1825" s="530"/>
      <c r="AJ1825" s="776">
        <f>AI1825/AH1825*100</f>
        <v>0</v>
      </c>
    </row>
    <row r="1826" spans="1:36" ht="14">
      <c r="A1826" s="40"/>
      <c r="B1826" s="40"/>
      <c r="C1826" s="124"/>
      <c r="D1826" s="124"/>
      <c r="E1826" s="124"/>
      <c r="F1826" s="41"/>
      <c r="G1826" s="41"/>
      <c r="H1826" s="63"/>
      <c r="I1826" s="41"/>
      <c r="J1826" s="680"/>
      <c r="K1826" s="679"/>
      <c r="L1826" s="678"/>
      <c r="M1826" s="678"/>
      <c r="N1826" s="678"/>
      <c r="O1826" s="678"/>
      <c r="P1826" s="678"/>
      <c r="Q1826" s="678"/>
      <c r="R1826" s="678"/>
      <c r="S1826" s="678"/>
      <c r="T1826" s="678"/>
      <c r="U1826" s="678"/>
      <c r="V1826" s="678"/>
      <c r="W1826" s="678"/>
      <c r="X1826" s="678"/>
      <c r="Y1826" s="678"/>
      <c r="Z1826" s="678"/>
      <c r="AA1826" s="678"/>
      <c r="AB1826" s="702"/>
      <c r="AC1826" s="702"/>
      <c r="AD1826" s="702"/>
      <c r="AE1826" s="702"/>
      <c r="AF1826" s="702"/>
      <c r="AG1826" s="702"/>
      <c r="AH1826" s="702"/>
      <c r="AI1826" s="702"/>
      <c r="AJ1826" s="780"/>
    </row>
    <row r="1827" spans="1:36" ht="14">
      <c r="A1827" s="40">
        <v>215</v>
      </c>
      <c r="B1827" s="40"/>
      <c r="C1827" s="124"/>
      <c r="D1827" s="124"/>
      <c r="E1827" s="124"/>
      <c r="F1827" s="942" t="s">
        <v>420</v>
      </c>
      <c r="G1827" s="935"/>
      <c r="H1827" s="935"/>
      <c r="I1827" s="936"/>
      <c r="J1827" s="452"/>
      <c r="K1827" s="453"/>
      <c r="L1827" s="454"/>
      <c r="M1827" s="454"/>
      <c r="N1827" s="454"/>
      <c r="O1827" s="454"/>
      <c r="P1827" s="454"/>
      <c r="Q1827" s="454"/>
      <c r="R1827" s="454"/>
      <c r="S1827" s="454"/>
      <c r="T1827" s="454"/>
      <c r="U1827" s="454"/>
      <c r="V1827" s="454"/>
      <c r="W1827" s="454"/>
      <c r="X1827" s="454"/>
      <c r="Y1827" s="454"/>
      <c r="Z1827" s="454"/>
      <c r="AA1827" s="454"/>
      <c r="AB1827" s="454"/>
      <c r="AC1827" s="454"/>
      <c r="AD1827" s="454"/>
      <c r="AE1827" s="454"/>
      <c r="AF1827" s="454"/>
      <c r="AG1827" s="454"/>
      <c r="AH1827" s="454"/>
      <c r="AI1827" s="454"/>
      <c r="AJ1827" s="769"/>
    </row>
    <row r="1828" spans="1:36" ht="14">
      <c r="A1828" s="40"/>
      <c r="B1828" s="40"/>
      <c r="C1828" s="124">
        <v>2</v>
      </c>
      <c r="D1828" s="124"/>
      <c r="E1828" s="124"/>
      <c r="F1828" s="41"/>
      <c r="G1828" s="41"/>
      <c r="H1828" s="162" t="s">
        <v>211</v>
      </c>
      <c r="I1828" s="125"/>
      <c r="J1828" s="524"/>
      <c r="K1828" s="525"/>
      <c r="L1828" s="526"/>
      <c r="M1828" s="526"/>
      <c r="N1828" s="526"/>
      <c r="O1828" s="526"/>
      <c r="P1828" s="526"/>
      <c r="Q1828" s="526"/>
      <c r="R1828" s="526"/>
      <c r="S1828" s="526"/>
      <c r="T1828" s="526"/>
      <c r="U1828" s="526"/>
      <c r="V1828" s="526"/>
      <c r="W1828" s="526"/>
      <c r="X1828" s="526"/>
      <c r="Y1828" s="526"/>
      <c r="Z1828" s="526"/>
      <c r="AA1828" s="526"/>
      <c r="AB1828" s="526"/>
      <c r="AC1828" s="526"/>
      <c r="AD1828" s="526"/>
      <c r="AE1828" s="526"/>
      <c r="AF1828" s="526"/>
      <c r="AG1828" s="526"/>
      <c r="AH1828" s="526"/>
      <c r="AI1828" s="526"/>
      <c r="AJ1828" s="779"/>
    </row>
    <row r="1829" spans="1:36" ht="14">
      <c r="A1829" s="40"/>
      <c r="B1829" s="40"/>
      <c r="C1829" s="124"/>
      <c r="D1829" s="124">
        <v>6</v>
      </c>
      <c r="E1829" s="124" t="s">
        <v>199</v>
      </c>
      <c r="F1829" s="41"/>
      <c r="G1829" s="41"/>
      <c r="H1829" s="163"/>
      <c r="I1829" s="125" t="s">
        <v>213</v>
      </c>
      <c r="J1829" s="524"/>
      <c r="K1829" s="525">
        <v>5000000</v>
      </c>
      <c r="L1829" s="454">
        <f>SUM(J1829:K1829)</f>
        <v>5000000</v>
      </c>
      <c r="M1829" s="454">
        <v>2430038</v>
      </c>
      <c r="N1829" s="454"/>
      <c r="O1829" s="454"/>
      <c r="P1829" s="454"/>
      <c r="Q1829" s="454">
        <v>254000</v>
      </c>
      <c r="R1829" s="454"/>
      <c r="S1829" s="217">
        <f t="shared" ref="S1829" si="2132">SUM(M1829:R1829)</f>
        <v>2684038</v>
      </c>
      <c r="T1829" s="217">
        <f t="shared" ref="T1829" si="2133">S1829+L1829</f>
        <v>7684038</v>
      </c>
      <c r="U1829" s="454"/>
      <c r="V1829" s="454"/>
      <c r="W1829" s="454"/>
      <c r="X1829" s="454">
        <v>109962</v>
      </c>
      <c r="Y1829" s="454"/>
      <c r="Z1829" s="217">
        <f>SUM(U1829:Y1829)</f>
        <v>109962</v>
      </c>
      <c r="AA1829" s="217">
        <f>Z1829+T1829</f>
        <v>7794000</v>
      </c>
      <c r="AB1829" s="454"/>
      <c r="AC1829" s="454"/>
      <c r="AD1829" s="454"/>
      <c r="AE1829" s="454">
        <v>1589990</v>
      </c>
      <c r="AF1829" s="454"/>
      <c r="AG1829" s="217">
        <f t="shared" ref="AG1829" si="2134">SUM(AB1829:AF1829)</f>
        <v>1589990</v>
      </c>
      <c r="AH1829" s="217">
        <f t="shared" ref="AH1829" si="2135">AG1829+AA1829</f>
        <v>9383990</v>
      </c>
      <c r="AI1829" s="217">
        <v>7794000</v>
      </c>
      <c r="AJ1829" s="764">
        <f t="shared" ref="AJ1829" si="2136">AI1829/AH1829*100</f>
        <v>83.056354493131394</v>
      </c>
    </row>
    <row r="1830" spans="1:36" ht="14">
      <c r="A1830" s="40"/>
      <c r="B1830" s="40"/>
      <c r="C1830" s="124"/>
      <c r="D1830" s="124"/>
      <c r="E1830" s="124"/>
      <c r="F1830" s="41"/>
      <c r="G1830" s="41"/>
      <c r="H1830" s="163"/>
      <c r="I1830" s="125"/>
      <c r="J1830" s="524"/>
      <c r="K1830" s="525"/>
      <c r="L1830" s="526"/>
      <c r="M1830" s="526"/>
      <c r="N1830" s="526"/>
      <c r="O1830" s="526"/>
      <c r="P1830" s="526"/>
      <c r="Q1830" s="526"/>
      <c r="R1830" s="526"/>
      <c r="S1830" s="526"/>
      <c r="T1830" s="526"/>
      <c r="U1830" s="526"/>
      <c r="V1830" s="526"/>
      <c r="W1830" s="526"/>
      <c r="X1830" s="526"/>
      <c r="Y1830" s="526"/>
      <c r="Z1830" s="526"/>
      <c r="AA1830" s="526"/>
      <c r="AB1830" s="526"/>
      <c r="AC1830" s="526"/>
      <c r="AD1830" s="526"/>
      <c r="AE1830" s="526"/>
      <c r="AF1830" s="526"/>
      <c r="AG1830" s="526"/>
      <c r="AH1830" s="526"/>
      <c r="AI1830" s="526"/>
      <c r="AJ1830" s="779"/>
    </row>
    <row r="1831" spans="1:36" ht="14">
      <c r="A1831" s="40"/>
      <c r="B1831" s="40"/>
      <c r="C1831" s="124"/>
      <c r="D1831" s="124"/>
      <c r="E1831" s="124"/>
      <c r="F1831" s="42"/>
      <c r="G1831" s="42"/>
      <c r="H1831" s="165"/>
      <c r="I1831" s="166" t="s">
        <v>37</v>
      </c>
      <c r="J1831" s="528"/>
      <c r="K1831" s="529">
        <f>SUM(K1826:K1830)</f>
        <v>5000000</v>
      </c>
      <c r="L1831" s="530">
        <f>SUM(L1826:L1830)</f>
        <v>5000000</v>
      </c>
      <c r="M1831" s="530">
        <f>SUM(M1826:M1830)</f>
        <v>2430038</v>
      </c>
      <c r="N1831" s="530">
        <f t="shared" ref="N1831:T1831" si="2137">SUM(N1826:N1830)</f>
        <v>0</v>
      </c>
      <c r="O1831" s="530">
        <f t="shared" si="2137"/>
        <v>0</v>
      </c>
      <c r="P1831" s="530">
        <f t="shared" si="2137"/>
        <v>0</v>
      </c>
      <c r="Q1831" s="530">
        <f t="shared" si="2137"/>
        <v>254000</v>
      </c>
      <c r="R1831" s="530">
        <f t="shared" si="2137"/>
        <v>0</v>
      </c>
      <c r="S1831" s="530">
        <f t="shared" si="2137"/>
        <v>2684038</v>
      </c>
      <c r="T1831" s="530">
        <f t="shared" si="2137"/>
        <v>7684038</v>
      </c>
      <c r="U1831" s="530"/>
      <c r="V1831" s="530"/>
      <c r="W1831" s="530"/>
      <c r="X1831" s="530">
        <f t="shared" ref="X1831:AA1831" si="2138">SUM(X1826:X1830)</f>
        <v>109962</v>
      </c>
      <c r="Y1831" s="530"/>
      <c r="Z1831" s="530">
        <f t="shared" si="2138"/>
        <v>109962</v>
      </c>
      <c r="AA1831" s="530">
        <f t="shared" si="2138"/>
        <v>7794000</v>
      </c>
      <c r="AB1831" s="530"/>
      <c r="AC1831" s="530"/>
      <c r="AD1831" s="530"/>
      <c r="AE1831" s="530">
        <f t="shared" ref="AE1831" si="2139">SUM(AE1826:AE1830)</f>
        <v>1589990</v>
      </c>
      <c r="AF1831" s="530"/>
      <c r="AG1831" s="530">
        <f t="shared" ref="AG1831:AI1831" si="2140">SUM(AG1826:AG1830)</f>
        <v>1589990</v>
      </c>
      <c r="AH1831" s="530">
        <f t="shared" si="2140"/>
        <v>9383990</v>
      </c>
      <c r="AI1831" s="530">
        <f t="shared" si="2140"/>
        <v>7794000</v>
      </c>
      <c r="AJ1831" s="776">
        <f>AI1831/AH1831*100</f>
        <v>83.056354493131394</v>
      </c>
    </row>
    <row r="1832" spans="1:36" ht="14">
      <c r="A1832" s="40"/>
      <c r="B1832" s="40"/>
      <c r="C1832" s="124"/>
      <c r="D1832" s="124"/>
      <c r="E1832" s="124"/>
      <c r="F1832" s="41"/>
      <c r="G1832" s="41"/>
      <c r="H1832" s="63"/>
      <c r="I1832" s="41"/>
      <c r="J1832" s="680"/>
      <c r="K1832" s="679"/>
      <c r="L1832" s="678"/>
      <c r="M1832" s="678"/>
      <c r="N1832" s="678"/>
      <c r="O1832" s="678"/>
      <c r="P1832" s="678"/>
      <c r="Q1832" s="678"/>
      <c r="R1832" s="678"/>
      <c r="S1832" s="678"/>
      <c r="T1832" s="678"/>
      <c r="U1832" s="678"/>
      <c r="V1832" s="678"/>
      <c r="W1832" s="678"/>
      <c r="X1832" s="678"/>
      <c r="Y1832" s="678"/>
      <c r="Z1832" s="678"/>
      <c r="AA1832" s="678"/>
      <c r="AB1832" s="702"/>
      <c r="AC1832" s="702"/>
      <c r="AD1832" s="702"/>
      <c r="AE1832" s="702"/>
      <c r="AF1832" s="702"/>
      <c r="AG1832" s="702"/>
      <c r="AH1832" s="702"/>
      <c r="AI1832" s="702"/>
      <c r="AJ1832" s="780"/>
    </row>
    <row r="1833" spans="1:36" ht="14">
      <c r="A1833" s="40">
        <v>216</v>
      </c>
      <c r="B1833" s="40"/>
      <c r="C1833" s="124"/>
      <c r="D1833" s="124"/>
      <c r="E1833" s="124"/>
      <c r="F1833" s="942" t="s">
        <v>465</v>
      </c>
      <c r="G1833" s="935"/>
      <c r="H1833" s="935"/>
      <c r="I1833" s="936"/>
      <c r="J1833" s="452"/>
      <c r="K1833" s="453"/>
      <c r="L1833" s="454"/>
      <c r="M1833" s="454"/>
      <c r="N1833" s="454"/>
      <c r="O1833" s="454"/>
      <c r="P1833" s="454"/>
      <c r="Q1833" s="454"/>
      <c r="R1833" s="454"/>
      <c r="S1833" s="454"/>
      <c r="T1833" s="454"/>
      <c r="U1833" s="454"/>
      <c r="V1833" s="454"/>
      <c r="W1833" s="454"/>
      <c r="X1833" s="454"/>
      <c r="Y1833" s="454"/>
      <c r="Z1833" s="454"/>
      <c r="AA1833" s="454"/>
      <c r="AB1833" s="454"/>
      <c r="AC1833" s="454"/>
      <c r="AD1833" s="454"/>
      <c r="AE1833" s="454"/>
      <c r="AF1833" s="454"/>
      <c r="AG1833" s="454"/>
      <c r="AH1833" s="454"/>
      <c r="AI1833" s="454"/>
      <c r="AJ1833" s="769"/>
    </row>
    <row r="1834" spans="1:36" ht="14">
      <c r="A1834" s="40"/>
      <c r="B1834" s="40"/>
      <c r="C1834" s="124">
        <v>2</v>
      </c>
      <c r="D1834" s="124"/>
      <c r="E1834" s="124"/>
      <c r="F1834" s="41"/>
      <c r="G1834" s="41"/>
      <c r="H1834" s="162" t="s">
        <v>211</v>
      </c>
      <c r="I1834" s="125"/>
      <c r="J1834" s="524"/>
      <c r="K1834" s="525"/>
      <c r="L1834" s="526"/>
      <c r="M1834" s="526"/>
      <c r="N1834" s="526"/>
      <c r="O1834" s="526"/>
      <c r="P1834" s="526"/>
      <c r="Q1834" s="526"/>
      <c r="R1834" s="526"/>
      <c r="S1834" s="526"/>
      <c r="T1834" s="526"/>
      <c r="U1834" s="526"/>
      <c r="V1834" s="526"/>
      <c r="W1834" s="526"/>
      <c r="X1834" s="526"/>
      <c r="Y1834" s="526"/>
      <c r="Z1834" s="526"/>
      <c r="AA1834" s="526"/>
      <c r="AB1834" s="526"/>
      <c r="AC1834" s="526"/>
      <c r="AD1834" s="526"/>
      <c r="AE1834" s="526"/>
      <c r="AF1834" s="526"/>
      <c r="AG1834" s="526"/>
      <c r="AH1834" s="526"/>
      <c r="AI1834" s="526"/>
      <c r="AJ1834" s="779"/>
    </row>
    <row r="1835" spans="1:36" ht="14">
      <c r="A1835" s="40"/>
      <c r="B1835" s="40"/>
      <c r="C1835" s="124"/>
      <c r="D1835" s="124">
        <v>6</v>
      </c>
      <c r="E1835" s="124" t="s">
        <v>199</v>
      </c>
      <c r="F1835" s="41"/>
      <c r="G1835" s="41"/>
      <c r="H1835" s="163"/>
      <c r="I1835" s="125" t="s">
        <v>213</v>
      </c>
      <c r="J1835" s="524"/>
      <c r="K1835" s="525">
        <v>15024100</v>
      </c>
      <c r="L1835" s="454">
        <f>SUM(J1835:K1835)</f>
        <v>15024100</v>
      </c>
      <c r="M1835" s="454"/>
      <c r="N1835" s="454"/>
      <c r="O1835" s="454"/>
      <c r="P1835" s="454"/>
      <c r="Q1835" s="454"/>
      <c r="R1835" s="454"/>
      <c r="S1835" s="217">
        <f t="shared" ref="S1835" si="2141">SUM(M1835:R1835)</f>
        <v>0</v>
      </c>
      <c r="T1835" s="217">
        <f t="shared" ref="T1835" si="2142">S1835+L1835</f>
        <v>15024100</v>
      </c>
      <c r="U1835" s="454"/>
      <c r="V1835" s="454"/>
      <c r="W1835" s="454"/>
      <c r="X1835" s="454"/>
      <c r="Y1835" s="454"/>
      <c r="Z1835" s="217">
        <f>SUM(U1835:Y1835)</f>
        <v>0</v>
      </c>
      <c r="AA1835" s="217">
        <f>Z1835+T1835</f>
        <v>15024100</v>
      </c>
      <c r="AB1835" s="454"/>
      <c r="AC1835" s="454"/>
      <c r="AD1835" s="454"/>
      <c r="AE1835" s="454"/>
      <c r="AF1835" s="454"/>
      <c r="AG1835" s="217">
        <f t="shared" ref="AG1835" si="2143">SUM(AB1835:AF1835)</f>
        <v>0</v>
      </c>
      <c r="AH1835" s="217">
        <f t="shared" ref="AH1835" si="2144">AG1835+AA1835</f>
        <v>15024100</v>
      </c>
      <c r="AI1835" s="217">
        <v>15024100</v>
      </c>
      <c r="AJ1835" s="764">
        <f t="shared" ref="AJ1835" si="2145">AI1835/AH1835*100</f>
        <v>100</v>
      </c>
    </row>
    <row r="1836" spans="1:36" ht="14">
      <c r="A1836" s="40"/>
      <c r="B1836" s="40"/>
      <c r="C1836" s="124"/>
      <c r="D1836" s="124"/>
      <c r="E1836" s="124"/>
      <c r="F1836" s="41"/>
      <c r="G1836" s="41"/>
      <c r="H1836" s="163"/>
      <c r="I1836" s="125"/>
      <c r="J1836" s="524"/>
      <c r="K1836" s="525"/>
      <c r="L1836" s="526"/>
      <c r="M1836" s="526"/>
      <c r="N1836" s="526"/>
      <c r="O1836" s="526"/>
      <c r="P1836" s="526"/>
      <c r="Q1836" s="526"/>
      <c r="R1836" s="526"/>
      <c r="S1836" s="526"/>
      <c r="T1836" s="526"/>
      <c r="U1836" s="526"/>
      <c r="V1836" s="526"/>
      <c r="W1836" s="526"/>
      <c r="X1836" s="526"/>
      <c r="Y1836" s="526"/>
      <c r="Z1836" s="526"/>
      <c r="AA1836" s="526"/>
      <c r="AB1836" s="526"/>
      <c r="AC1836" s="526"/>
      <c r="AD1836" s="526"/>
      <c r="AE1836" s="526"/>
      <c r="AF1836" s="526"/>
      <c r="AG1836" s="526"/>
      <c r="AH1836" s="526"/>
      <c r="AI1836" s="526"/>
      <c r="AJ1836" s="779"/>
    </row>
    <row r="1837" spans="1:36" ht="14">
      <c r="A1837" s="40"/>
      <c r="B1837" s="40"/>
      <c r="C1837" s="124"/>
      <c r="D1837" s="124"/>
      <c r="E1837" s="124"/>
      <c r="F1837" s="42"/>
      <c r="G1837" s="42"/>
      <c r="H1837" s="165"/>
      <c r="I1837" s="166" t="s">
        <v>37</v>
      </c>
      <c r="J1837" s="528"/>
      <c r="K1837" s="529">
        <f>SUM(K1832:K1836)</f>
        <v>15024100</v>
      </c>
      <c r="L1837" s="530">
        <f>SUM(L1832:L1836)</f>
        <v>15024100</v>
      </c>
      <c r="M1837" s="530">
        <f t="shared" ref="M1837:T1837" si="2146">SUM(M1832:M1836)</f>
        <v>0</v>
      </c>
      <c r="N1837" s="530">
        <f t="shared" si="2146"/>
        <v>0</v>
      </c>
      <c r="O1837" s="530">
        <f t="shared" si="2146"/>
        <v>0</v>
      </c>
      <c r="P1837" s="530">
        <f t="shared" si="2146"/>
        <v>0</v>
      </c>
      <c r="Q1837" s="530">
        <f t="shared" si="2146"/>
        <v>0</v>
      </c>
      <c r="R1837" s="530">
        <f t="shared" si="2146"/>
        <v>0</v>
      </c>
      <c r="S1837" s="530">
        <f t="shared" si="2146"/>
        <v>0</v>
      </c>
      <c r="T1837" s="530">
        <f t="shared" si="2146"/>
        <v>15024100</v>
      </c>
      <c r="U1837" s="530"/>
      <c r="V1837" s="530"/>
      <c r="W1837" s="530"/>
      <c r="X1837" s="530"/>
      <c r="Y1837" s="530"/>
      <c r="Z1837" s="530">
        <f t="shared" ref="Z1837:AA1837" si="2147">SUM(Z1832:Z1836)</f>
        <v>0</v>
      </c>
      <c r="AA1837" s="530">
        <f t="shared" si="2147"/>
        <v>15024100</v>
      </c>
      <c r="AB1837" s="530"/>
      <c r="AC1837" s="530"/>
      <c r="AD1837" s="530"/>
      <c r="AE1837" s="530"/>
      <c r="AF1837" s="530"/>
      <c r="AG1837" s="530">
        <f t="shared" ref="AG1837:AI1837" si="2148">SUM(AG1832:AG1836)</f>
        <v>0</v>
      </c>
      <c r="AH1837" s="530">
        <f t="shared" si="2148"/>
        <v>15024100</v>
      </c>
      <c r="AI1837" s="530">
        <f t="shared" si="2148"/>
        <v>15024100</v>
      </c>
      <c r="AJ1837" s="776">
        <f>AI1837/AH1837*100</f>
        <v>100</v>
      </c>
    </row>
    <row r="1838" spans="1:36" ht="14">
      <c r="A1838" s="40"/>
      <c r="B1838" s="40"/>
      <c r="C1838" s="124"/>
      <c r="D1838" s="124"/>
      <c r="E1838" s="124"/>
      <c r="F1838" s="41"/>
      <c r="G1838" s="41"/>
      <c r="H1838" s="63"/>
      <c r="I1838" s="41"/>
      <c r="J1838" s="680"/>
      <c r="K1838" s="679"/>
      <c r="L1838" s="678"/>
      <c r="M1838" s="678"/>
      <c r="N1838" s="678"/>
      <c r="O1838" s="678"/>
      <c r="P1838" s="678"/>
      <c r="Q1838" s="678"/>
      <c r="R1838" s="678"/>
      <c r="S1838" s="678"/>
      <c r="T1838" s="678"/>
      <c r="U1838" s="678"/>
      <c r="V1838" s="678"/>
      <c r="W1838" s="678"/>
      <c r="X1838" s="678"/>
      <c r="Y1838" s="678"/>
      <c r="Z1838" s="678"/>
      <c r="AA1838" s="678"/>
      <c r="AB1838" s="702"/>
      <c r="AC1838" s="702"/>
      <c r="AD1838" s="702"/>
      <c r="AE1838" s="702"/>
      <c r="AF1838" s="702"/>
      <c r="AG1838" s="702"/>
      <c r="AH1838" s="702"/>
      <c r="AI1838" s="702"/>
      <c r="AJ1838" s="780"/>
    </row>
    <row r="1839" spans="1:36" ht="14">
      <c r="A1839" s="40">
        <v>217</v>
      </c>
      <c r="B1839" s="40"/>
      <c r="C1839" s="124"/>
      <c r="D1839" s="124"/>
      <c r="E1839" s="124"/>
      <c r="F1839" s="942" t="s">
        <v>417</v>
      </c>
      <c r="G1839" s="935"/>
      <c r="H1839" s="935"/>
      <c r="I1839" s="936"/>
      <c r="J1839" s="452"/>
      <c r="K1839" s="453"/>
      <c r="L1839" s="454"/>
      <c r="M1839" s="454"/>
      <c r="N1839" s="454"/>
      <c r="O1839" s="454"/>
      <c r="P1839" s="454"/>
      <c r="Q1839" s="454"/>
      <c r="R1839" s="454"/>
      <c r="S1839" s="454"/>
      <c r="T1839" s="454"/>
      <c r="U1839" s="454"/>
      <c r="V1839" s="454"/>
      <c r="W1839" s="454"/>
      <c r="X1839" s="454"/>
      <c r="Y1839" s="454"/>
      <c r="Z1839" s="454"/>
      <c r="AA1839" s="454"/>
      <c r="AB1839" s="454"/>
      <c r="AC1839" s="454"/>
      <c r="AD1839" s="454"/>
      <c r="AE1839" s="454"/>
      <c r="AF1839" s="454"/>
      <c r="AG1839" s="454"/>
      <c r="AH1839" s="454"/>
      <c r="AI1839" s="454"/>
      <c r="AJ1839" s="769"/>
    </row>
    <row r="1840" spans="1:36" ht="14">
      <c r="A1840" s="40"/>
      <c r="B1840" s="40"/>
      <c r="C1840" s="124">
        <v>2</v>
      </c>
      <c r="D1840" s="124"/>
      <c r="E1840" s="124"/>
      <c r="F1840" s="41"/>
      <c r="G1840" s="41"/>
      <c r="H1840" s="162" t="s">
        <v>211</v>
      </c>
      <c r="I1840" s="125"/>
      <c r="J1840" s="524"/>
      <c r="K1840" s="525"/>
      <c r="L1840" s="526"/>
      <c r="M1840" s="526"/>
      <c r="N1840" s="526"/>
      <c r="O1840" s="526"/>
      <c r="P1840" s="526"/>
      <c r="Q1840" s="526"/>
      <c r="R1840" s="526"/>
      <c r="S1840" s="526"/>
      <c r="T1840" s="526"/>
      <c r="U1840" s="526"/>
      <c r="V1840" s="526"/>
      <c r="W1840" s="526"/>
      <c r="X1840" s="526"/>
      <c r="Y1840" s="526"/>
      <c r="Z1840" s="526"/>
      <c r="AA1840" s="526"/>
      <c r="AB1840" s="526"/>
      <c r="AC1840" s="526"/>
      <c r="AD1840" s="526"/>
      <c r="AE1840" s="526"/>
      <c r="AF1840" s="526"/>
      <c r="AG1840" s="526"/>
      <c r="AH1840" s="526"/>
      <c r="AI1840" s="526"/>
      <c r="AJ1840" s="779"/>
    </row>
    <row r="1841" spans="1:36" ht="14">
      <c r="A1841" s="40"/>
      <c r="B1841" s="40"/>
      <c r="C1841" s="124"/>
      <c r="D1841" s="124">
        <v>6</v>
      </c>
      <c r="E1841" s="124" t="s">
        <v>199</v>
      </c>
      <c r="F1841" s="41"/>
      <c r="G1841" s="41"/>
      <c r="H1841" s="163"/>
      <c r="I1841" s="125" t="s">
        <v>213</v>
      </c>
      <c r="J1841" s="524"/>
      <c r="K1841" s="525">
        <v>3692609</v>
      </c>
      <c r="L1841" s="454">
        <f>SUM(J1841:K1841)</f>
        <v>3692609</v>
      </c>
      <c r="M1841" s="454"/>
      <c r="N1841" s="454"/>
      <c r="O1841" s="454"/>
      <c r="P1841" s="454"/>
      <c r="Q1841" s="454"/>
      <c r="R1841" s="454"/>
      <c r="S1841" s="217">
        <f t="shared" ref="S1841" si="2149">SUM(M1841:R1841)</f>
        <v>0</v>
      </c>
      <c r="T1841" s="217">
        <f t="shared" ref="T1841" si="2150">S1841+L1841</f>
        <v>3692609</v>
      </c>
      <c r="U1841" s="454"/>
      <c r="V1841" s="454"/>
      <c r="W1841" s="454"/>
      <c r="X1841" s="454"/>
      <c r="Y1841" s="454"/>
      <c r="Z1841" s="217">
        <f>SUM(U1841:Y1841)</f>
        <v>0</v>
      </c>
      <c r="AA1841" s="217">
        <f>Z1841+T1841</f>
        <v>3692609</v>
      </c>
      <c r="AB1841" s="454"/>
      <c r="AC1841" s="454"/>
      <c r="AD1841" s="454"/>
      <c r="AE1841" s="454"/>
      <c r="AF1841" s="454"/>
      <c r="AG1841" s="217">
        <f t="shared" ref="AG1841" si="2151">SUM(AB1841:AF1841)</f>
        <v>0</v>
      </c>
      <c r="AH1841" s="217">
        <f t="shared" ref="AH1841" si="2152">AG1841+AA1841</f>
        <v>3692609</v>
      </c>
      <c r="AI1841" s="217">
        <v>3692609</v>
      </c>
      <c r="AJ1841" s="764">
        <f t="shared" ref="AJ1841" si="2153">AI1841/AH1841*100</f>
        <v>100</v>
      </c>
    </row>
    <row r="1842" spans="1:36" ht="14">
      <c r="A1842" s="40"/>
      <c r="B1842" s="40"/>
      <c r="C1842" s="124"/>
      <c r="D1842" s="124"/>
      <c r="E1842" s="124"/>
      <c r="F1842" s="41"/>
      <c r="G1842" s="41"/>
      <c r="H1842" s="163"/>
      <c r="I1842" s="125"/>
      <c r="J1842" s="524"/>
      <c r="K1842" s="525"/>
      <c r="L1842" s="526"/>
      <c r="M1842" s="526"/>
      <c r="N1842" s="526"/>
      <c r="O1842" s="526"/>
      <c r="P1842" s="526"/>
      <c r="Q1842" s="526"/>
      <c r="R1842" s="526"/>
      <c r="S1842" s="526"/>
      <c r="T1842" s="526"/>
      <c r="U1842" s="526"/>
      <c r="V1842" s="526"/>
      <c r="W1842" s="526"/>
      <c r="X1842" s="526"/>
      <c r="Y1842" s="526"/>
      <c r="Z1842" s="526"/>
      <c r="AA1842" s="526"/>
      <c r="AB1842" s="526"/>
      <c r="AC1842" s="526"/>
      <c r="AD1842" s="526"/>
      <c r="AE1842" s="526"/>
      <c r="AF1842" s="526"/>
      <c r="AG1842" s="526"/>
      <c r="AH1842" s="526"/>
      <c r="AI1842" s="526"/>
      <c r="AJ1842" s="779"/>
    </row>
    <row r="1843" spans="1:36" ht="14">
      <c r="A1843" s="40"/>
      <c r="B1843" s="40"/>
      <c r="C1843" s="124"/>
      <c r="D1843" s="124"/>
      <c r="E1843" s="124"/>
      <c r="F1843" s="42"/>
      <c r="G1843" s="42"/>
      <c r="H1843" s="165"/>
      <c r="I1843" s="166" t="s">
        <v>37</v>
      </c>
      <c r="J1843" s="528"/>
      <c r="K1843" s="529">
        <f>SUM(K1838:K1842)</f>
        <v>3692609</v>
      </c>
      <c r="L1843" s="530">
        <f>SUM(L1838:L1842)</f>
        <v>3692609</v>
      </c>
      <c r="M1843" s="530">
        <f t="shared" ref="M1843:T1843" si="2154">SUM(M1838:M1842)</f>
        <v>0</v>
      </c>
      <c r="N1843" s="530">
        <f t="shared" si="2154"/>
        <v>0</v>
      </c>
      <c r="O1843" s="530">
        <f t="shared" si="2154"/>
        <v>0</v>
      </c>
      <c r="P1843" s="530">
        <f t="shared" si="2154"/>
        <v>0</v>
      </c>
      <c r="Q1843" s="530">
        <f t="shared" si="2154"/>
        <v>0</v>
      </c>
      <c r="R1843" s="530">
        <f t="shared" si="2154"/>
        <v>0</v>
      </c>
      <c r="S1843" s="530">
        <f t="shared" si="2154"/>
        <v>0</v>
      </c>
      <c r="T1843" s="530">
        <f t="shared" si="2154"/>
        <v>3692609</v>
      </c>
      <c r="U1843" s="530"/>
      <c r="V1843" s="530"/>
      <c r="W1843" s="530"/>
      <c r="X1843" s="530"/>
      <c r="Y1843" s="530"/>
      <c r="Z1843" s="530">
        <f t="shared" ref="Z1843:AA1843" si="2155">SUM(Z1838:Z1842)</f>
        <v>0</v>
      </c>
      <c r="AA1843" s="530">
        <f t="shared" si="2155"/>
        <v>3692609</v>
      </c>
      <c r="AB1843" s="530"/>
      <c r="AC1843" s="530"/>
      <c r="AD1843" s="530"/>
      <c r="AE1843" s="530"/>
      <c r="AF1843" s="530"/>
      <c r="AG1843" s="530">
        <f t="shared" ref="AG1843:AI1843" si="2156">SUM(AG1838:AG1842)</f>
        <v>0</v>
      </c>
      <c r="AH1843" s="530">
        <f t="shared" si="2156"/>
        <v>3692609</v>
      </c>
      <c r="AI1843" s="530">
        <f t="shared" si="2156"/>
        <v>3692609</v>
      </c>
      <c r="AJ1843" s="776">
        <f>AI1843/AH1843*100</f>
        <v>100</v>
      </c>
    </row>
    <row r="1844" spans="1:36" ht="14">
      <c r="A1844" s="40"/>
      <c r="B1844" s="40"/>
      <c r="C1844" s="124"/>
      <c r="D1844" s="124"/>
      <c r="E1844" s="124"/>
      <c r="F1844" s="41"/>
      <c r="G1844" s="41"/>
      <c r="H1844" s="63"/>
      <c r="I1844" s="41"/>
      <c r="J1844" s="680"/>
      <c r="K1844" s="679"/>
      <c r="L1844" s="678"/>
      <c r="M1844" s="678"/>
      <c r="N1844" s="678"/>
      <c r="O1844" s="678"/>
      <c r="P1844" s="678"/>
      <c r="Q1844" s="678"/>
      <c r="R1844" s="678"/>
      <c r="S1844" s="678"/>
      <c r="T1844" s="678"/>
      <c r="U1844" s="678"/>
      <c r="V1844" s="678"/>
      <c r="W1844" s="678"/>
      <c r="X1844" s="678"/>
      <c r="Y1844" s="678"/>
      <c r="Z1844" s="678"/>
      <c r="AA1844" s="678"/>
      <c r="AB1844" s="702"/>
      <c r="AC1844" s="702"/>
      <c r="AD1844" s="702"/>
      <c r="AE1844" s="702"/>
      <c r="AF1844" s="702"/>
      <c r="AG1844" s="702"/>
      <c r="AH1844" s="702"/>
      <c r="AI1844" s="702"/>
      <c r="AJ1844" s="780"/>
    </row>
    <row r="1845" spans="1:36" ht="14">
      <c r="A1845" s="40">
        <v>218</v>
      </c>
      <c r="B1845" s="40"/>
      <c r="C1845" s="124"/>
      <c r="D1845" s="124"/>
      <c r="E1845" s="124"/>
      <c r="F1845" s="942" t="s">
        <v>421</v>
      </c>
      <c r="G1845" s="935"/>
      <c r="H1845" s="935"/>
      <c r="I1845" s="936"/>
      <c r="J1845" s="452"/>
      <c r="K1845" s="453"/>
      <c r="L1845" s="454"/>
      <c r="M1845" s="454"/>
      <c r="N1845" s="454"/>
      <c r="O1845" s="454"/>
      <c r="P1845" s="454"/>
      <c r="Q1845" s="454"/>
      <c r="R1845" s="454"/>
      <c r="S1845" s="454"/>
      <c r="T1845" s="454"/>
      <c r="U1845" s="454"/>
      <c r="V1845" s="454"/>
      <c r="W1845" s="454"/>
      <c r="X1845" s="454"/>
      <c r="Y1845" s="454"/>
      <c r="Z1845" s="454"/>
      <c r="AA1845" s="454"/>
      <c r="AB1845" s="454"/>
      <c r="AC1845" s="454"/>
      <c r="AD1845" s="454"/>
      <c r="AE1845" s="454"/>
      <c r="AF1845" s="454"/>
      <c r="AG1845" s="454"/>
      <c r="AH1845" s="454"/>
      <c r="AI1845" s="454"/>
      <c r="AJ1845" s="769"/>
    </row>
    <row r="1846" spans="1:36" ht="14">
      <c r="A1846" s="40"/>
      <c r="B1846" s="40"/>
      <c r="C1846" s="124">
        <v>1</v>
      </c>
      <c r="D1846" s="124"/>
      <c r="E1846" s="124"/>
      <c r="F1846" s="41"/>
      <c r="G1846" s="41"/>
      <c r="H1846" s="163" t="s">
        <v>35</v>
      </c>
      <c r="I1846" s="66"/>
      <c r="J1846" s="452"/>
      <c r="K1846" s="453"/>
      <c r="L1846" s="454"/>
      <c r="M1846" s="454"/>
      <c r="N1846" s="454"/>
      <c r="O1846" s="454"/>
      <c r="P1846" s="454"/>
      <c r="Q1846" s="454"/>
      <c r="R1846" s="454"/>
      <c r="S1846" s="454"/>
      <c r="T1846" s="454"/>
      <c r="U1846" s="454"/>
      <c r="V1846" s="454"/>
      <c r="W1846" s="454"/>
      <c r="X1846" s="454"/>
      <c r="Y1846" s="454"/>
      <c r="Z1846" s="454"/>
      <c r="AA1846" s="454"/>
      <c r="AB1846" s="454"/>
      <c r="AC1846" s="454"/>
      <c r="AD1846" s="454"/>
      <c r="AE1846" s="454"/>
      <c r="AF1846" s="454"/>
      <c r="AG1846" s="454"/>
      <c r="AH1846" s="454"/>
      <c r="AI1846" s="454"/>
      <c r="AJ1846" s="769"/>
    </row>
    <row r="1847" spans="1:36" ht="14">
      <c r="A1847" s="40"/>
      <c r="B1847" s="40"/>
      <c r="C1847" s="124"/>
      <c r="D1847" s="124">
        <v>3</v>
      </c>
      <c r="E1847" s="124" t="s">
        <v>199</v>
      </c>
      <c r="F1847" s="41"/>
      <c r="G1847" s="41"/>
      <c r="H1847" s="162"/>
      <c r="I1847" s="125" t="s">
        <v>116</v>
      </c>
      <c r="J1847" s="452"/>
      <c r="K1847" s="453"/>
      <c r="L1847" s="454"/>
      <c r="M1847" s="454">
        <v>1198750</v>
      </c>
      <c r="N1847" s="454"/>
      <c r="O1847" s="454"/>
      <c r="P1847" s="454"/>
      <c r="Q1847" s="454"/>
      <c r="R1847" s="454"/>
      <c r="S1847" s="217">
        <f t="shared" ref="S1847:S1849" si="2157">SUM(M1847:R1847)</f>
        <v>1198750</v>
      </c>
      <c r="T1847" s="217">
        <f t="shared" ref="T1847:T1849" si="2158">S1847+L1847</f>
        <v>1198750</v>
      </c>
      <c r="U1847" s="454"/>
      <c r="V1847" s="454"/>
      <c r="W1847" s="454"/>
      <c r="X1847" s="454">
        <v>15508600</v>
      </c>
      <c r="Y1847" s="454"/>
      <c r="Z1847" s="217">
        <f>SUM(U1847:Y1847)</f>
        <v>15508600</v>
      </c>
      <c r="AA1847" s="217">
        <f>Z1847+T1847</f>
        <v>16707350</v>
      </c>
      <c r="AB1847" s="454"/>
      <c r="AC1847" s="454">
        <v>31505394</v>
      </c>
      <c r="AD1847" s="454"/>
      <c r="AE1847" s="454">
        <v>-1361240</v>
      </c>
      <c r="AF1847" s="454"/>
      <c r="AG1847" s="217">
        <f t="shared" ref="AG1847:AG1849" si="2159">SUM(AB1847:AF1847)</f>
        <v>30144154</v>
      </c>
      <c r="AH1847" s="217">
        <f t="shared" ref="AH1847:AH1849" si="2160">AG1847+AA1847</f>
        <v>46851504</v>
      </c>
      <c r="AI1847" s="217">
        <v>15345562</v>
      </c>
      <c r="AJ1847" s="764">
        <f t="shared" ref="AJ1847:AJ1849" si="2161">AI1847/AH1847*100</f>
        <v>32.753616618155952</v>
      </c>
    </row>
    <row r="1848" spans="1:36" ht="14">
      <c r="A1848" s="40"/>
      <c r="B1848" s="40"/>
      <c r="C1848" s="124">
        <v>2</v>
      </c>
      <c r="D1848" s="124"/>
      <c r="E1848" s="124"/>
      <c r="F1848" s="41"/>
      <c r="G1848" s="41"/>
      <c r="H1848" s="162" t="s">
        <v>211</v>
      </c>
      <c r="I1848" s="125"/>
      <c r="J1848" s="524"/>
      <c r="K1848" s="525"/>
      <c r="L1848" s="526"/>
      <c r="M1848" s="526"/>
      <c r="N1848" s="526"/>
      <c r="O1848" s="526"/>
      <c r="P1848" s="526"/>
      <c r="Q1848" s="526"/>
      <c r="R1848" s="526"/>
      <c r="S1848" s="217"/>
      <c r="T1848" s="217"/>
      <c r="U1848" s="526"/>
      <c r="V1848" s="526"/>
      <c r="W1848" s="526"/>
      <c r="X1848" s="526"/>
      <c r="Y1848" s="526"/>
      <c r="Z1848" s="217"/>
      <c r="AA1848" s="217"/>
      <c r="AB1848" s="526"/>
      <c r="AC1848" s="526"/>
      <c r="AD1848" s="526"/>
      <c r="AE1848" s="526"/>
      <c r="AF1848" s="526"/>
      <c r="AG1848" s="217">
        <f t="shared" si="2159"/>
        <v>0</v>
      </c>
      <c r="AH1848" s="217">
        <f t="shared" si="2160"/>
        <v>0</v>
      </c>
      <c r="AI1848" s="217"/>
      <c r="AJ1848" s="764"/>
    </row>
    <row r="1849" spans="1:36" ht="14">
      <c r="A1849" s="40"/>
      <c r="B1849" s="40"/>
      <c r="C1849" s="124"/>
      <c r="D1849" s="124">
        <v>6</v>
      </c>
      <c r="E1849" s="124" t="s">
        <v>199</v>
      </c>
      <c r="F1849" s="41"/>
      <c r="G1849" s="41"/>
      <c r="H1849" s="163"/>
      <c r="I1849" s="125" t="s">
        <v>213</v>
      </c>
      <c r="J1849" s="524"/>
      <c r="K1849" s="525">
        <v>45986859</v>
      </c>
      <c r="L1849" s="454">
        <f>SUM(J1849:K1849)</f>
        <v>45986859</v>
      </c>
      <c r="M1849" s="454">
        <v>54475146</v>
      </c>
      <c r="N1849" s="454"/>
      <c r="O1849" s="454"/>
      <c r="P1849" s="454"/>
      <c r="Q1849" s="454">
        <v>-2220979</v>
      </c>
      <c r="R1849" s="454"/>
      <c r="S1849" s="217">
        <f t="shared" si="2157"/>
        <v>52254167</v>
      </c>
      <c r="T1849" s="217">
        <f t="shared" si="2158"/>
        <v>98241026</v>
      </c>
      <c r="U1849" s="454"/>
      <c r="V1849" s="454"/>
      <c r="W1849" s="454"/>
      <c r="X1849" s="454">
        <v>-15508600</v>
      </c>
      <c r="Y1849" s="454"/>
      <c r="Z1849" s="217">
        <f>SUM(U1849:Y1849)</f>
        <v>-15508600</v>
      </c>
      <c r="AA1849" s="217">
        <f>Z1849+T1849</f>
        <v>82732426</v>
      </c>
      <c r="AB1849" s="454"/>
      <c r="AC1849" s="454"/>
      <c r="AD1849" s="454"/>
      <c r="AE1849" s="454">
        <v>-2682131</v>
      </c>
      <c r="AF1849" s="454"/>
      <c r="AG1849" s="217">
        <f t="shared" si="2159"/>
        <v>-2682131</v>
      </c>
      <c r="AH1849" s="217">
        <f t="shared" si="2160"/>
        <v>80050295</v>
      </c>
      <c r="AI1849" s="217">
        <v>36222828</v>
      </c>
      <c r="AJ1849" s="764">
        <f t="shared" si="2161"/>
        <v>45.250086836032274</v>
      </c>
    </row>
    <row r="1850" spans="1:36" ht="6" customHeight="1">
      <c r="A1850" s="40"/>
      <c r="B1850" s="40"/>
      <c r="C1850" s="124"/>
      <c r="D1850" s="124"/>
      <c r="E1850" s="124"/>
      <c r="F1850" s="41"/>
      <c r="G1850" s="41"/>
      <c r="H1850" s="163"/>
      <c r="I1850" s="125"/>
      <c r="J1850" s="524"/>
      <c r="K1850" s="525"/>
      <c r="L1850" s="526"/>
      <c r="M1850" s="526"/>
      <c r="N1850" s="526"/>
      <c r="O1850" s="526"/>
      <c r="P1850" s="526"/>
      <c r="Q1850" s="526"/>
      <c r="R1850" s="526"/>
      <c r="S1850" s="526"/>
      <c r="T1850" s="526"/>
      <c r="U1850" s="526"/>
      <c r="V1850" s="526"/>
      <c r="W1850" s="526"/>
      <c r="X1850" s="526"/>
      <c r="Y1850" s="526"/>
      <c r="Z1850" s="526"/>
      <c r="AA1850" s="526"/>
      <c r="AB1850" s="526"/>
      <c r="AC1850" s="526"/>
      <c r="AD1850" s="526"/>
      <c r="AE1850" s="526"/>
      <c r="AF1850" s="526"/>
      <c r="AG1850" s="526"/>
      <c r="AH1850" s="526"/>
      <c r="AI1850" s="526"/>
      <c r="AJ1850" s="779"/>
    </row>
    <row r="1851" spans="1:36" ht="14">
      <c r="A1851" s="40"/>
      <c r="B1851" s="40"/>
      <c r="C1851" s="124"/>
      <c r="D1851" s="124"/>
      <c r="E1851" s="124"/>
      <c r="F1851" s="42"/>
      <c r="G1851" s="42"/>
      <c r="H1851" s="165"/>
      <c r="I1851" s="166" t="s">
        <v>37</v>
      </c>
      <c r="J1851" s="528"/>
      <c r="K1851" s="529">
        <f>SUM(K1844:K1850)</f>
        <v>45986859</v>
      </c>
      <c r="L1851" s="530">
        <f>SUM(L1844:L1850)</f>
        <v>45986859</v>
      </c>
      <c r="M1851" s="530">
        <f t="shared" ref="M1851:T1851" si="2162">SUM(M1844:M1850)</f>
        <v>55673896</v>
      </c>
      <c r="N1851" s="530">
        <f t="shared" si="2162"/>
        <v>0</v>
      </c>
      <c r="O1851" s="530">
        <f t="shared" si="2162"/>
        <v>0</v>
      </c>
      <c r="P1851" s="530">
        <f t="shared" si="2162"/>
        <v>0</v>
      </c>
      <c r="Q1851" s="530">
        <f t="shared" si="2162"/>
        <v>-2220979</v>
      </c>
      <c r="R1851" s="530">
        <f t="shared" si="2162"/>
        <v>0</v>
      </c>
      <c r="S1851" s="530">
        <f t="shared" si="2162"/>
        <v>53452917</v>
      </c>
      <c r="T1851" s="530">
        <f t="shared" si="2162"/>
        <v>99439776</v>
      </c>
      <c r="U1851" s="530"/>
      <c r="V1851" s="530"/>
      <c r="W1851" s="530"/>
      <c r="X1851" s="530"/>
      <c r="Y1851" s="530"/>
      <c r="Z1851" s="530">
        <f t="shared" ref="Z1851:AG1851" si="2163">SUM(Z1844:Z1850)</f>
        <v>0</v>
      </c>
      <c r="AA1851" s="530">
        <f t="shared" si="2163"/>
        <v>99439776</v>
      </c>
      <c r="AB1851" s="530">
        <f t="shared" si="2163"/>
        <v>0</v>
      </c>
      <c r="AC1851" s="530">
        <f t="shared" si="2163"/>
        <v>31505394</v>
      </c>
      <c r="AD1851" s="530">
        <f t="shared" si="2163"/>
        <v>0</v>
      </c>
      <c r="AE1851" s="530">
        <f t="shared" si="2163"/>
        <v>-4043371</v>
      </c>
      <c r="AF1851" s="530">
        <f t="shared" si="2163"/>
        <v>0</v>
      </c>
      <c r="AG1851" s="530">
        <f t="shared" si="2163"/>
        <v>27462023</v>
      </c>
      <c r="AH1851" s="530">
        <f t="shared" ref="AH1851:AI1851" si="2164">SUM(AH1844:AH1850)</f>
        <v>126901799</v>
      </c>
      <c r="AI1851" s="530">
        <f t="shared" si="2164"/>
        <v>51568390</v>
      </c>
      <c r="AJ1851" s="776">
        <f>AI1851/AH1851*100</f>
        <v>40.636453073450909</v>
      </c>
    </row>
    <row r="1852" spans="1:36" ht="14">
      <c r="A1852" s="40"/>
      <c r="B1852" s="40"/>
      <c r="C1852" s="124"/>
      <c r="D1852" s="124"/>
      <c r="E1852" s="124"/>
      <c r="F1852" s="41"/>
      <c r="G1852" s="41"/>
      <c r="H1852" s="63"/>
      <c r="I1852" s="41"/>
      <c r="J1852" s="680"/>
      <c r="K1852" s="679"/>
      <c r="L1852" s="678"/>
      <c r="M1852" s="678"/>
      <c r="N1852" s="678"/>
      <c r="O1852" s="678"/>
      <c r="P1852" s="678"/>
      <c r="Q1852" s="678"/>
      <c r="R1852" s="678"/>
      <c r="S1852" s="678"/>
      <c r="T1852" s="678"/>
      <c r="U1852" s="678"/>
      <c r="V1852" s="678"/>
      <c r="W1852" s="678"/>
      <c r="X1852" s="678"/>
      <c r="Y1852" s="678"/>
      <c r="Z1852" s="678"/>
      <c r="AA1852" s="678"/>
      <c r="AB1852" s="702"/>
      <c r="AC1852" s="702"/>
      <c r="AD1852" s="702"/>
      <c r="AE1852" s="702"/>
      <c r="AF1852" s="702"/>
      <c r="AG1852" s="702"/>
      <c r="AH1852" s="702"/>
      <c r="AI1852" s="702"/>
      <c r="AJ1852" s="780"/>
    </row>
    <row r="1853" spans="1:36" ht="14">
      <c r="A1853" s="40">
        <v>219</v>
      </c>
      <c r="B1853" s="40"/>
      <c r="C1853" s="124"/>
      <c r="D1853" s="124"/>
      <c r="E1853" s="124"/>
      <c r="F1853" s="942" t="s">
        <v>418</v>
      </c>
      <c r="G1853" s="935"/>
      <c r="H1853" s="935"/>
      <c r="I1853" s="936"/>
      <c r="J1853" s="452"/>
      <c r="K1853" s="453"/>
      <c r="L1853" s="454"/>
      <c r="M1853" s="454"/>
      <c r="N1853" s="454"/>
      <c r="O1853" s="454"/>
      <c r="P1853" s="454"/>
      <c r="Q1853" s="454"/>
      <c r="R1853" s="454"/>
      <c r="S1853" s="454"/>
      <c r="T1853" s="454"/>
      <c r="U1853" s="454"/>
      <c r="V1853" s="454"/>
      <c r="W1853" s="454"/>
      <c r="X1853" s="454"/>
      <c r="Y1853" s="454"/>
      <c r="Z1853" s="454"/>
      <c r="AA1853" s="454"/>
      <c r="AB1853" s="454"/>
      <c r="AC1853" s="454"/>
      <c r="AD1853" s="454"/>
      <c r="AE1853" s="454"/>
      <c r="AF1853" s="454"/>
      <c r="AG1853" s="454"/>
      <c r="AH1853" s="454"/>
      <c r="AI1853" s="454"/>
      <c r="AJ1853" s="769"/>
    </row>
    <row r="1854" spans="1:36" ht="14">
      <c r="A1854" s="40"/>
      <c r="B1854" s="40"/>
      <c r="C1854" s="124">
        <v>2</v>
      </c>
      <c r="D1854" s="124"/>
      <c r="E1854" s="124"/>
      <c r="F1854" s="41"/>
      <c r="G1854" s="41"/>
      <c r="H1854" s="162" t="s">
        <v>211</v>
      </c>
      <c r="I1854" s="125"/>
      <c r="J1854" s="524"/>
      <c r="K1854" s="525"/>
      <c r="L1854" s="526"/>
      <c r="M1854" s="526"/>
      <c r="N1854" s="526"/>
      <c r="O1854" s="526"/>
      <c r="P1854" s="526"/>
      <c r="Q1854" s="526"/>
      <c r="R1854" s="526"/>
      <c r="S1854" s="526"/>
      <c r="T1854" s="526"/>
      <c r="U1854" s="526"/>
      <c r="V1854" s="526"/>
      <c r="W1854" s="526"/>
      <c r="X1854" s="526"/>
      <c r="Y1854" s="526"/>
      <c r="Z1854" s="526"/>
      <c r="AA1854" s="526"/>
      <c r="AB1854" s="526"/>
      <c r="AC1854" s="526"/>
      <c r="AD1854" s="526"/>
      <c r="AE1854" s="526"/>
      <c r="AF1854" s="526"/>
      <c r="AG1854" s="526"/>
      <c r="AH1854" s="526"/>
      <c r="AI1854" s="526"/>
      <c r="AJ1854" s="779"/>
    </row>
    <row r="1855" spans="1:36" ht="14">
      <c r="A1855" s="40"/>
      <c r="B1855" s="40"/>
      <c r="C1855" s="124"/>
      <c r="D1855" s="124">
        <v>6</v>
      </c>
      <c r="E1855" s="124" t="s">
        <v>199</v>
      </c>
      <c r="F1855" s="41"/>
      <c r="G1855" s="41"/>
      <c r="H1855" s="163"/>
      <c r="I1855" s="125" t="s">
        <v>213</v>
      </c>
      <c r="J1855" s="524"/>
      <c r="K1855" s="525">
        <v>17380000</v>
      </c>
      <c r="L1855" s="454">
        <f>SUM(J1855:K1855)</f>
        <v>17380000</v>
      </c>
      <c r="M1855" s="454"/>
      <c r="N1855" s="454"/>
      <c r="O1855" s="454"/>
      <c r="P1855" s="454"/>
      <c r="Q1855" s="454"/>
      <c r="R1855" s="454"/>
      <c r="S1855" s="217">
        <f t="shared" ref="S1855" si="2165">SUM(M1855:R1855)</f>
        <v>0</v>
      </c>
      <c r="T1855" s="217">
        <f t="shared" ref="T1855" si="2166">S1855+L1855</f>
        <v>17380000</v>
      </c>
      <c r="U1855" s="454"/>
      <c r="V1855" s="454"/>
      <c r="W1855" s="454"/>
      <c r="X1855" s="454"/>
      <c r="Y1855" s="454"/>
      <c r="Z1855" s="217">
        <f>SUM(U1855:Y1855)</f>
        <v>0</v>
      </c>
      <c r="AA1855" s="217">
        <f>Z1855+T1855</f>
        <v>17380000</v>
      </c>
      <c r="AB1855" s="454"/>
      <c r="AC1855" s="454"/>
      <c r="AD1855" s="454"/>
      <c r="AE1855" s="454"/>
      <c r="AF1855" s="454"/>
      <c r="AG1855" s="217">
        <f t="shared" ref="AG1855" si="2167">SUM(AB1855:AF1855)</f>
        <v>0</v>
      </c>
      <c r="AH1855" s="217">
        <f t="shared" ref="AH1855" si="2168">AG1855+AA1855</f>
        <v>17380000</v>
      </c>
      <c r="AI1855" s="217">
        <v>5344160</v>
      </c>
      <c r="AJ1855" s="764">
        <f t="shared" ref="AJ1855" si="2169">AI1855/AH1855*100</f>
        <v>30.748906789413116</v>
      </c>
    </row>
    <row r="1856" spans="1:36" ht="6.5" customHeight="1">
      <c r="A1856" s="40"/>
      <c r="B1856" s="40"/>
      <c r="C1856" s="124"/>
      <c r="D1856" s="124"/>
      <c r="E1856" s="124"/>
      <c r="F1856" s="41"/>
      <c r="G1856" s="41"/>
      <c r="H1856" s="163"/>
      <c r="I1856" s="125"/>
      <c r="J1856" s="524"/>
      <c r="K1856" s="525"/>
      <c r="L1856" s="526"/>
      <c r="M1856" s="526"/>
      <c r="N1856" s="526"/>
      <c r="O1856" s="526"/>
      <c r="P1856" s="526"/>
      <c r="Q1856" s="526"/>
      <c r="R1856" s="526"/>
      <c r="S1856" s="526"/>
      <c r="T1856" s="526"/>
      <c r="U1856" s="526"/>
      <c r="V1856" s="526"/>
      <c r="W1856" s="526"/>
      <c r="X1856" s="526"/>
      <c r="Y1856" s="526"/>
      <c r="Z1856" s="526"/>
      <c r="AA1856" s="526"/>
      <c r="AB1856" s="526"/>
      <c r="AC1856" s="526"/>
      <c r="AD1856" s="526"/>
      <c r="AE1856" s="526"/>
      <c r="AF1856" s="526"/>
      <c r="AG1856" s="526"/>
      <c r="AH1856" s="526"/>
      <c r="AI1856" s="526"/>
      <c r="AJ1856" s="779"/>
    </row>
    <row r="1857" spans="1:36" ht="14">
      <c r="A1857" s="40"/>
      <c r="B1857" s="40"/>
      <c r="C1857" s="124"/>
      <c r="D1857" s="124"/>
      <c r="E1857" s="124"/>
      <c r="F1857" s="42"/>
      <c r="G1857" s="42"/>
      <c r="H1857" s="165"/>
      <c r="I1857" s="166" t="s">
        <v>37</v>
      </c>
      <c r="J1857" s="528"/>
      <c r="K1857" s="529">
        <f>SUM(K1852:K1856)</f>
        <v>17380000</v>
      </c>
      <c r="L1857" s="530">
        <f>SUM(L1852:L1856)</f>
        <v>17380000</v>
      </c>
      <c r="M1857" s="530">
        <f t="shared" ref="M1857:T1857" si="2170">SUM(M1852:M1856)</f>
        <v>0</v>
      </c>
      <c r="N1857" s="530">
        <f t="shared" si="2170"/>
        <v>0</v>
      </c>
      <c r="O1857" s="530">
        <f t="shared" si="2170"/>
        <v>0</v>
      </c>
      <c r="P1857" s="530">
        <f t="shared" si="2170"/>
        <v>0</v>
      </c>
      <c r="Q1857" s="530">
        <f t="shared" si="2170"/>
        <v>0</v>
      </c>
      <c r="R1857" s="530">
        <f t="shared" si="2170"/>
        <v>0</v>
      </c>
      <c r="S1857" s="530">
        <f t="shared" si="2170"/>
        <v>0</v>
      </c>
      <c r="T1857" s="530">
        <f t="shared" si="2170"/>
        <v>17380000</v>
      </c>
      <c r="U1857" s="530"/>
      <c r="V1857" s="530"/>
      <c r="W1857" s="530"/>
      <c r="X1857" s="530"/>
      <c r="Y1857" s="530"/>
      <c r="Z1857" s="530">
        <f t="shared" ref="Z1857:AA1857" si="2171">SUM(Z1852:Z1856)</f>
        <v>0</v>
      </c>
      <c r="AA1857" s="530">
        <f t="shared" si="2171"/>
        <v>17380000</v>
      </c>
      <c r="AB1857" s="530"/>
      <c r="AC1857" s="530"/>
      <c r="AD1857" s="530"/>
      <c r="AE1857" s="530"/>
      <c r="AF1857" s="530"/>
      <c r="AG1857" s="530">
        <f t="shared" ref="AG1857:AI1857" si="2172">SUM(AG1852:AG1856)</f>
        <v>0</v>
      </c>
      <c r="AH1857" s="530">
        <f t="shared" si="2172"/>
        <v>17380000</v>
      </c>
      <c r="AI1857" s="530">
        <f t="shared" si="2172"/>
        <v>5344160</v>
      </c>
      <c r="AJ1857" s="776">
        <f>AI1857/AH1857*100</f>
        <v>30.748906789413116</v>
      </c>
    </row>
    <row r="1858" spans="1:36" ht="13.5" customHeight="1">
      <c r="A1858" s="40"/>
      <c r="B1858" s="40"/>
      <c r="C1858" s="124"/>
      <c r="D1858" s="124"/>
      <c r="E1858" s="124"/>
      <c r="F1858" s="41"/>
      <c r="G1858" s="41"/>
      <c r="H1858" s="63"/>
      <c r="I1858" s="41"/>
      <c r="J1858" s="680"/>
      <c r="K1858" s="679"/>
      <c r="L1858" s="678"/>
      <c r="M1858" s="678"/>
      <c r="N1858" s="678"/>
      <c r="O1858" s="678"/>
      <c r="P1858" s="678"/>
      <c r="Q1858" s="678"/>
      <c r="R1858" s="678"/>
      <c r="S1858" s="678"/>
      <c r="T1858" s="678"/>
      <c r="U1858" s="678"/>
      <c r="V1858" s="678"/>
      <c r="W1858" s="678"/>
      <c r="X1858" s="678"/>
      <c r="Y1858" s="678"/>
      <c r="Z1858" s="678"/>
      <c r="AA1858" s="678"/>
      <c r="AB1858" s="702"/>
      <c r="AC1858" s="702"/>
      <c r="AD1858" s="702"/>
      <c r="AE1858" s="702"/>
      <c r="AF1858" s="702"/>
      <c r="AG1858" s="702"/>
      <c r="AH1858" s="702"/>
      <c r="AI1858" s="702"/>
      <c r="AJ1858" s="780"/>
    </row>
    <row r="1859" spans="1:36" ht="13.5" customHeight="1">
      <c r="A1859" s="40">
        <v>220</v>
      </c>
      <c r="B1859" s="40"/>
      <c r="C1859" s="124"/>
      <c r="D1859" s="124"/>
      <c r="E1859" s="124"/>
      <c r="F1859" s="942" t="s">
        <v>422</v>
      </c>
      <c r="G1859" s="935"/>
      <c r="H1859" s="935"/>
      <c r="I1859" s="936"/>
      <c r="J1859" s="452"/>
      <c r="K1859" s="453"/>
      <c r="L1859" s="454"/>
      <c r="M1859" s="454"/>
      <c r="N1859" s="454"/>
      <c r="O1859" s="454"/>
      <c r="P1859" s="454"/>
      <c r="Q1859" s="454"/>
      <c r="R1859" s="454"/>
      <c r="S1859" s="454"/>
      <c r="T1859" s="454"/>
      <c r="U1859" s="454"/>
      <c r="V1859" s="454"/>
      <c r="W1859" s="454"/>
      <c r="X1859" s="454"/>
      <c r="Y1859" s="454"/>
      <c r="Z1859" s="454"/>
      <c r="AA1859" s="454"/>
      <c r="AB1859" s="454"/>
      <c r="AC1859" s="454"/>
      <c r="AD1859" s="454"/>
      <c r="AE1859" s="454"/>
      <c r="AF1859" s="454"/>
      <c r="AG1859" s="454"/>
      <c r="AH1859" s="454"/>
      <c r="AI1859" s="454"/>
      <c r="AJ1859" s="769"/>
    </row>
    <row r="1860" spans="1:36" ht="13.5" customHeight="1">
      <c r="A1860" s="40"/>
      <c r="B1860" s="40"/>
      <c r="C1860" s="124">
        <v>1</v>
      </c>
      <c r="D1860" s="124"/>
      <c r="E1860" s="124"/>
      <c r="F1860" s="41"/>
      <c r="G1860" s="41"/>
      <c r="H1860" s="163" t="s">
        <v>35</v>
      </c>
      <c r="I1860" s="66"/>
      <c r="J1860" s="524"/>
      <c r="K1860" s="453"/>
      <c r="L1860" s="526"/>
      <c r="M1860" s="526"/>
      <c r="N1860" s="526"/>
      <c r="O1860" s="526"/>
      <c r="P1860" s="526"/>
      <c r="Q1860" s="526"/>
      <c r="R1860" s="526"/>
      <c r="S1860" s="526"/>
      <c r="T1860" s="526"/>
      <c r="U1860" s="526"/>
      <c r="V1860" s="526"/>
      <c r="W1860" s="526"/>
      <c r="X1860" s="526"/>
      <c r="Y1860" s="526"/>
      <c r="Z1860" s="526"/>
      <c r="AA1860" s="526"/>
      <c r="AB1860" s="526"/>
      <c r="AC1860" s="526"/>
      <c r="AD1860" s="526"/>
      <c r="AE1860" s="526"/>
      <c r="AF1860" s="526"/>
      <c r="AG1860" s="526"/>
      <c r="AH1860" s="526"/>
      <c r="AI1860" s="526"/>
      <c r="AJ1860" s="779"/>
    </row>
    <row r="1861" spans="1:36" ht="13.5" customHeight="1">
      <c r="A1861" s="40"/>
      <c r="B1861" s="40"/>
      <c r="C1861" s="124"/>
      <c r="D1861" s="124">
        <v>1</v>
      </c>
      <c r="E1861" s="124" t="s">
        <v>199</v>
      </c>
      <c r="F1861" s="41"/>
      <c r="G1861" s="41"/>
      <c r="H1861" s="163"/>
      <c r="I1861" s="66" t="s">
        <v>180</v>
      </c>
      <c r="J1861" s="524">
        <v>14400000</v>
      </c>
      <c r="K1861" s="679"/>
      <c r="L1861" s="526">
        <f>SUM(J1861:K1861)</f>
        <v>14400000</v>
      </c>
      <c r="M1861" s="526"/>
      <c r="N1861" s="526"/>
      <c r="O1861" s="526"/>
      <c r="P1861" s="526"/>
      <c r="Q1861" s="526"/>
      <c r="R1861" s="526"/>
      <c r="S1861" s="217">
        <f t="shared" ref="S1861:S1865" si="2173">SUM(M1861:R1861)</f>
        <v>0</v>
      </c>
      <c r="T1861" s="217">
        <f t="shared" ref="T1861:T1865" si="2174">S1861+L1861</f>
        <v>14400000</v>
      </c>
      <c r="U1861" s="526"/>
      <c r="V1861" s="526"/>
      <c r="W1861" s="526"/>
      <c r="X1861" s="526"/>
      <c r="Y1861" s="526"/>
      <c r="Z1861" s="217">
        <f>SUM(U1861:Y1861)</f>
        <v>0</v>
      </c>
      <c r="AA1861" s="217">
        <f>Z1861+T1861</f>
        <v>14400000</v>
      </c>
      <c r="AB1861" s="526"/>
      <c r="AC1861" s="526"/>
      <c r="AD1861" s="526"/>
      <c r="AE1861" s="526"/>
      <c r="AF1861" s="526"/>
      <c r="AG1861" s="217">
        <f t="shared" ref="AG1861:AG1863" si="2175">SUM(AB1861:AF1861)</f>
        <v>0</v>
      </c>
      <c r="AH1861" s="217">
        <f t="shared" ref="AH1861:AH1863" si="2176">AG1861+AA1861</f>
        <v>14400000</v>
      </c>
      <c r="AI1861" s="217"/>
      <c r="AJ1861" s="764"/>
    </row>
    <row r="1862" spans="1:36" ht="13.5" customHeight="1">
      <c r="A1862" s="40"/>
      <c r="B1862" s="40"/>
      <c r="C1862" s="124"/>
      <c r="D1862" s="124">
        <v>2</v>
      </c>
      <c r="E1862" s="124" t="s">
        <v>199</v>
      </c>
      <c r="F1862" s="41"/>
      <c r="G1862" s="41"/>
      <c r="H1862" s="163"/>
      <c r="I1862" s="66" t="s">
        <v>182</v>
      </c>
      <c r="J1862" s="524">
        <v>3878220</v>
      </c>
      <c r="K1862" s="679"/>
      <c r="L1862" s="526">
        <f>SUM(J1862:K1862)</f>
        <v>3878220</v>
      </c>
      <c r="M1862" s="526"/>
      <c r="N1862" s="526"/>
      <c r="O1862" s="526"/>
      <c r="P1862" s="526"/>
      <c r="Q1862" s="526"/>
      <c r="R1862" s="526"/>
      <c r="S1862" s="217">
        <f t="shared" si="2173"/>
        <v>0</v>
      </c>
      <c r="T1862" s="217">
        <f t="shared" si="2174"/>
        <v>3878220</v>
      </c>
      <c r="U1862" s="526"/>
      <c r="V1862" s="526"/>
      <c r="W1862" s="526"/>
      <c r="X1862" s="526"/>
      <c r="Y1862" s="526"/>
      <c r="Z1862" s="217">
        <f>SUM(U1862:Y1862)</f>
        <v>0</v>
      </c>
      <c r="AA1862" s="217">
        <f>Z1862+T1862</f>
        <v>3878220</v>
      </c>
      <c r="AB1862" s="526"/>
      <c r="AC1862" s="526"/>
      <c r="AD1862" s="526"/>
      <c r="AE1862" s="526"/>
      <c r="AF1862" s="526"/>
      <c r="AG1862" s="217">
        <f t="shared" si="2175"/>
        <v>0</v>
      </c>
      <c r="AH1862" s="217">
        <f t="shared" si="2176"/>
        <v>3878220</v>
      </c>
      <c r="AI1862" s="217"/>
      <c r="AJ1862" s="764"/>
    </row>
    <row r="1863" spans="1:36" ht="13.5" customHeight="1">
      <c r="A1863" s="40"/>
      <c r="B1863" s="40"/>
      <c r="C1863" s="124"/>
      <c r="D1863" s="124">
        <v>3</v>
      </c>
      <c r="E1863" s="124" t="s">
        <v>199</v>
      </c>
      <c r="F1863" s="41"/>
      <c r="G1863" s="41"/>
      <c r="H1863" s="162"/>
      <c r="I1863" s="125" t="s">
        <v>116</v>
      </c>
      <c r="J1863" s="524">
        <v>32611881</v>
      </c>
      <c r="K1863" s="453"/>
      <c r="L1863" s="526">
        <f>SUM(J1863:K1863)</f>
        <v>32611881</v>
      </c>
      <c r="M1863" s="526"/>
      <c r="N1863" s="526"/>
      <c r="O1863" s="526"/>
      <c r="P1863" s="526"/>
      <c r="Q1863" s="526"/>
      <c r="R1863" s="526"/>
      <c r="S1863" s="217">
        <f t="shared" si="2173"/>
        <v>0</v>
      </c>
      <c r="T1863" s="217">
        <f t="shared" si="2174"/>
        <v>32611881</v>
      </c>
      <c r="U1863" s="526"/>
      <c r="V1863" s="526"/>
      <c r="W1863" s="526"/>
      <c r="X1863" s="526"/>
      <c r="Y1863" s="526"/>
      <c r="Z1863" s="217">
        <f>SUM(U1863:Y1863)</f>
        <v>0</v>
      </c>
      <c r="AA1863" s="217">
        <f>Z1863+T1863</f>
        <v>32611881</v>
      </c>
      <c r="AB1863" s="526"/>
      <c r="AC1863" s="526"/>
      <c r="AD1863" s="526"/>
      <c r="AE1863" s="526"/>
      <c r="AF1863" s="526"/>
      <c r="AG1863" s="217">
        <f t="shared" si="2175"/>
        <v>0</v>
      </c>
      <c r="AH1863" s="217">
        <f t="shared" si="2176"/>
        <v>32611881</v>
      </c>
      <c r="AI1863" s="217"/>
      <c r="AJ1863" s="764"/>
    </row>
    <row r="1864" spans="1:36" ht="13.5" customHeight="1">
      <c r="A1864" s="40"/>
      <c r="B1864" s="40"/>
      <c r="C1864" s="124">
        <v>2</v>
      </c>
      <c r="D1864" s="124"/>
      <c r="E1864" s="124"/>
      <c r="F1864" s="41"/>
      <c r="G1864" s="41"/>
      <c r="H1864" s="162" t="s">
        <v>211</v>
      </c>
      <c r="I1864" s="125"/>
      <c r="J1864" s="524"/>
      <c r="K1864" s="525"/>
      <c r="L1864" s="526"/>
      <c r="M1864" s="526"/>
      <c r="N1864" s="526"/>
      <c r="O1864" s="526"/>
      <c r="P1864" s="526"/>
      <c r="Q1864" s="526"/>
      <c r="R1864" s="526"/>
      <c r="S1864" s="217"/>
      <c r="T1864" s="217"/>
      <c r="U1864" s="526"/>
      <c r="V1864" s="526"/>
      <c r="W1864" s="526"/>
      <c r="X1864" s="526"/>
      <c r="Y1864" s="526"/>
      <c r="Z1864" s="217"/>
      <c r="AA1864" s="217"/>
      <c r="AB1864" s="526"/>
      <c r="AC1864" s="526"/>
      <c r="AD1864" s="526"/>
      <c r="AE1864" s="526"/>
      <c r="AF1864" s="526"/>
      <c r="AG1864" s="217"/>
      <c r="AH1864" s="217"/>
      <c r="AI1864" s="217"/>
      <c r="AJ1864" s="764"/>
    </row>
    <row r="1865" spans="1:36" ht="13.5" customHeight="1">
      <c r="A1865" s="40"/>
      <c r="B1865" s="40"/>
      <c r="C1865" s="124"/>
      <c r="D1865" s="124">
        <v>6</v>
      </c>
      <c r="E1865" s="124" t="s">
        <v>199</v>
      </c>
      <c r="F1865" s="41"/>
      <c r="G1865" s="41"/>
      <c r="H1865" s="163"/>
      <c r="I1865" s="125" t="s">
        <v>213</v>
      </c>
      <c r="J1865" s="524"/>
      <c r="K1865" s="525">
        <v>357641079</v>
      </c>
      <c r="L1865" s="454">
        <f>SUM(J1865:K1865)</f>
        <v>357641079</v>
      </c>
      <c r="M1865" s="454"/>
      <c r="N1865" s="454"/>
      <c r="O1865" s="454"/>
      <c r="P1865" s="454"/>
      <c r="Q1865" s="454"/>
      <c r="R1865" s="454"/>
      <c r="S1865" s="217">
        <f t="shared" si="2173"/>
        <v>0</v>
      </c>
      <c r="T1865" s="217">
        <f t="shared" si="2174"/>
        <v>357641079</v>
      </c>
      <c r="U1865" s="454"/>
      <c r="V1865" s="454"/>
      <c r="W1865" s="454"/>
      <c r="X1865" s="454"/>
      <c r="Y1865" s="454"/>
      <c r="Z1865" s="217">
        <f>SUM(U1865:Y1865)</f>
        <v>0</v>
      </c>
      <c r="AA1865" s="217">
        <f>Z1865+T1865</f>
        <v>357641079</v>
      </c>
      <c r="AB1865" s="454"/>
      <c r="AC1865" s="454">
        <v>-288409177</v>
      </c>
      <c r="AD1865" s="454"/>
      <c r="AE1865" s="454"/>
      <c r="AF1865" s="454"/>
      <c r="AG1865" s="217">
        <f t="shared" ref="AG1865" si="2177">SUM(AB1865:AF1865)</f>
        <v>-288409177</v>
      </c>
      <c r="AH1865" s="217">
        <f t="shared" ref="AH1865" si="2178">AG1865+AA1865</f>
        <v>69231902</v>
      </c>
      <c r="AI1865" s="217"/>
      <c r="AJ1865" s="764"/>
    </row>
    <row r="1866" spans="1:36" ht="13.5" customHeight="1">
      <c r="A1866" s="160"/>
      <c r="B1866" s="160"/>
      <c r="C1866" s="161"/>
      <c r="D1866" s="161">
        <v>8</v>
      </c>
      <c r="E1866" s="161" t="s">
        <v>199</v>
      </c>
      <c r="F1866" s="41"/>
      <c r="G1866" s="41"/>
      <c r="H1866" s="163"/>
      <c r="I1866" s="125" t="s">
        <v>212</v>
      </c>
      <c r="J1866" s="526"/>
      <c r="K1866" s="576"/>
      <c r="L1866" s="454"/>
      <c r="M1866" s="454"/>
      <c r="N1866" s="454"/>
      <c r="O1866" s="454"/>
      <c r="P1866" s="454"/>
      <c r="Q1866" s="454"/>
      <c r="R1866" s="454"/>
      <c r="S1866" s="217"/>
      <c r="T1866" s="217"/>
      <c r="U1866" s="454"/>
      <c r="V1866" s="454"/>
      <c r="W1866" s="454"/>
      <c r="X1866" s="454"/>
      <c r="Y1866" s="454"/>
      <c r="Z1866" s="217"/>
      <c r="AA1866" s="217"/>
      <c r="AB1866" s="454"/>
      <c r="AC1866" s="454">
        <v>288409177</v>
      </c>
      <c r="AD1866" s="454"/>
      <c r="AE1866" s="454"/>
      <c r="AF1866" s="454"/>
      <c r="AG1866" s="217">
        <f t="shared" ref="AG1866" si="2179">SUM(AB1866:AF1866)</f>
        <v>288409177</v>
      </c>
      <c r="AH1866" s="217">
        <f t="shared" ref="AH1866" si="2180">AG1866+AA1866</f>
        <v>288409177</v>
      </c>
      <c r="AI1866" s="217">
        <v>288409177</v>
      </c>
      <c r="AJ1866" s="764">
        <f t="shared" ref="AJ1866" si="2181">AI1866/AH1866*100</f>
        <v>100</v>
      </c>
    </row>
    <row r="1867" spans="1:36" ht="6.5" customHeight="1">
      <c r="A1867" s="40"/>
      <c r="B1867" s="40"/>
      <c r="C1867" s="124"/>
      <c r="D1867" s="124"/>
      <c r="E1867" s="124"/>
      <c r="F1867" s="41"/>
      <c r="G1867" s="41"/>
      <c r="H1867" s="163"/>
      <c r="I1867" s="125"/>
      <c r="J1867" s="524"/>
      <c r="K1867" s="525"/>
      <c r="L1867" s="526"/>
      <c r="M1867" s="526"/>
      <c r="N1867" s="526"/>
      <c r="O1867" s="526"/>
      <c r="P1867" s="526"/>
      <c r="Q1867" s="526"/>
      <c r="R1867" s="526"/>
      <c r="S1867" s="526"/>
      <c r="T1867" s="526"/>
      <c r="U1867" s="526"/>
      <c r="V1867" s="526"/>
      <c r="W1867" s="526"/>
      <c r="X1867" s="526"/>
      <c r="Y1867" s="526"/>
      <c r="Z1867" s="526"/>
      <c r="AA1867" s="526"/>
      <c r="AB1867" s="526"/>
      <c r="AC1867" s="526"/>
      <c r="AD1867" s="526"/>
      <c r="AE1867" s="526"/>
      <c r="AF1867" s="526"/>
      <c r="AG1867" s="526"/>
      <c r="AH1867" s="526"/>
      <c r="AI1867" s="526"/>
      <c r="AJ1867" s="779"/>
    </row>
    <row r="1868" spans="1:36" ht="13.5" customHeight="1">
      <c r="A1868" s="40"/>
      <c r="B1868" s="40"/>
      <c r="C1868" s="124"/>
      <c r="D1868" s="124"/>
      <c r="E1868" s="124"/>
      <c r="F1868" s="42"/>
      <c r="G1868" s="42"/>
      <c r="H1868" s="165"/>
      <c r="I1868" s="166" t="s">
        <v>37</v>
      </c>
      <c r="J1868" s="528">
        <f>SUM(J1858:J1867)</f>
        <v>50890101</v>
      </c>
      <c r="K1868" s="529">
        <f>SUM(K1858:K1867)</f>
        <v>357641079</v>
      </c>
      <c r="L1868" s="530">
        <f>SUM(L1858:L1867)</f>
        <v>408531180</v>
      </c>
      <c r="M1868" s="530">
        <f t="shared" ref="M1868:T1868" si="2182">SUM(M1858:M1867)</f>
        <v>0</v>
      </c>
      <c r="N1868" s="530">
        <f t="shared" si="2182"/>
        <v>0</v>
      </c>
      <c r="O1868" s="530">
        <f t="shared" si="2182"/>
        <v>0</v>
      </c>
      <c r="P1868" s="530">
        <f t="shared" si="2182"/>
        <v>0</v>
      </c>
      <c r="Q1868" s="530">
        <f t="shared" si="2182"/>
        <v>0</v>
      </c>
      <c r="R1868" s="530">
        <f t="shared" si="2182"/>
        <v>0</v>
      </c>
      <c r="S1868" s="530">
        <f t="shared" si="2182"/>
        <v>0</v>
      </c>
      <c r="T1868" s="530">
        <f t="shared" si="2182"/>
        <v>408531180</v>
      </c>
      <c r="U1868" s="530"/>
      <c r="V1868" s="530"/>
      <c r="W1868" s="530"/>
      <c r="X1868" s="530"/>
      <c r="Y1868" s="530"/>
      <c r="Z1868" s="530">
        <f t="shared" ref="Z1868:AA1868" si="2183">SUM(Z1858:Z1867)</f>
        <v>0</v>
      </c>
      <c r="AA1868" s="530">
        <f t="shared" si="2183"/>
        <v>408531180</v>
      </c>
      <c r="AB1868" s="530"/>
      <c r="AC1868" s="530"/>
      <c r="AD1868" s="530"/>
      <c r="AE1868" s="530"/>
      <c r="AF1868" s="530"/>
      <c r="AG1868" s="530">
        <f t="shared" ref="AG1868:AI1868" si="2184">SUM(AG1858:AG1867)</f>
        <v>0</v>
      </c>
      <c r="AH1868" s="530">
        <f t="shared" si="2184"/>
        <v>408531180</v>
      </c>
      <c r="AI1868" s="530">
        <f t="shared" si="2184"/>
        <v>288409177</v>
      </c>
      <c r="AJ1868" s="776">
        <f>AI1868/AH1868*100</f>
        <v>70.596613213219129</v>
      </c>
    </row>
    <row r="1869" spans="1:36" ht="13.5" customHeight="1">
      <c r="A1869" s="40"/>
      <c r="B1869" s="40"/>
      <c r="C1869" s="124"/>
      <c r="D1869" s="124"/>
      <c r="E1869" s="124"/>
      <c r="F1869" s="41"/>
      <c r="G1869" s="41"/>
      <c r="H1869" s="63"/>
      <c r="I1869" s="41"/>
      <c r="J1869" s="680"/>
      <c r="K1869" s="679"/>
      <c r="L1869" s="678"/>
      <c r="M1869" s="678"/>
      <c r="N1869" s="678"/>
      <c r="O1869" s="678"/>
      <c r="P1869" s="678"/>
      <c r="Q1869" s="678"/>
      <c r="R1869" s="678"/>
      <c r="S1869" s="678"/>
      <c r="T1869" s="678"/>
      <c r="U1869" s="678"/>
      <c r="V1869" s="678"/>
      <c r="W1869" s="678"/>
      <c r="X1869" s="678"/>
      <c r="Y1869" s="678"/>
      <c r="Z1869" s="678"/>
      <c r="AA1869" s="678"/>
      <c r="AB1869" s="702"/>
      <c r="AC1869" s="702"/>
      <c r="AD1869" s="702"/>
      <c r="AE1869" s="702"/>
      <c r="AF1869" s="702"/>
      <c r="AG1869" s="702"/>
      <c r="AH1869" s="702"/>
      <c r="AI1869" s="702"/>
      <c r="AJ1869" s="780"/>
    </row>
    <row r="1870" spans="1:36" ht="13.5" customHeight="1">
      <c r="A1870" s="40">
        <v>221</v>
      </c>
      <c r="B1870" s="40"/>
      <c r="C1870" s="124"/>
      <c r="D1870" s="124"/>
      <c r="E1870" s="124"/>
      <c r="F1870" s="41" t="s">
        <v>646</v>
      </c>
      <c r="G1870" s="41"/>
      <c r="H1870" s="66"/>
      <c r="I1870" s="41"/>
      <c r="J1870" s="452"/>
      <c r="K1870" s="453"/>
      <c r="L1870" s="454"/>
      <c r="M1870" s="454"/>
      <c r="N1870" s="454"/>
      <c r="O1870" s="454"/>
      <c r="P1870" s="454"/>
      <c r="Q1870" s="454"/>
      <c r="R1870" s="454"/>
      <c r="S1870" s="454"/>
      <c r="T1870" s="454"/>
      <c r="U1870" s="454"/>
      <c r="V1870" s="454"/>
      <c r="W1870" s="454"/>
      <c r="X1870" s="454"/>
      <c r="Y1870" s="454"/>
      <c r="Z1870" s="454"/>
      <c r="AA1870" s="454"/>
      <c r="AB1870" s="454"/>
      <c r="AC1870" s="454"/>
      <c r="AD1870" s="454"/>
      <c r="AE1870" s="454"/>
      <c r="AF1870" s="454"/>
      <c r="AG1870" s="454"/>
      <c r="AH1870" s="454"/>
      <c r="AI1870" s="454"/>
      <c r="AJ1870" s="769"/>
    </row>
    <row r="1871" spans="1:36" ht="13.5" customHeight="1">
      <c r="A1871" s="40"/>
      <c r="B1871" s="40"/>
      <c r="C1871" s="124">
        <v>1</v>
      </c>
      <c r="D1871" s="124"/>
      <c r="E1871" s="124"/>
      <c r="F1871" s="41"/>
      <c r="G1871" s="41"/>
      <c r="H1871" s="163" t="s">
        <v>35</v>
      </c>
      <c r="I1871" s="66"/>
      <c r="J1871" s="524"/>
      <c r="K1871" s="453"/>
      <c r="L1871" s="526"/>
      <c r="M1871" s="526"/>
      <c r="N1871" s="526"/>
      <c r="O1871" s="526"/>
      <c r="P1871" s="526"/>
      <c r="Q1871" s="526"/>
      <c r="R1871" s="526"/>
      <c r="S1871" s="526"/>
      <c r="T1871" s="526"/>
      <c r="U1871" s="526"/>
      <c r="V1871" s="526"/>
      <c r="W1871" s="526"/>
      <c r="X1871" s="526"/>
      <c r="Y1871" s="526"/>
      <c r="Z1871" s="526"/>
      <c r="AA1871" s="526"/>
      <c r="AB1871" s="526"/>
      <c r="AC1871" s="526"/>
      <c r="AD1871" s="526"/>
      <c r="AE1871" s="526"/>
      <c r="AF1871" s="526"/>
      <c r="AG1871" s="526"/>
      <c r="AH1871" s="526"/>
      <c r="AI1871" s="526"/>
      <c r="AJ1871" s="779"/>
    </row>
    <row r="1872" spans="1:36" ht="13.5" customHeight="1">
      <c r="A1872" s="40"/>
      <c r="B1872" s="40"/>
      <c r="C1872" s="124"/>
      <c r="D1872" s="124">
        <v>1</v>
      </c>
      <c r="E1872" s="124" t="s">
        <v>199</v>
      </c>
      <c r="F1872" s="41"/>
      <c r="G1872" s="41"/>
      <c r="H1872" s="163"/>
      <c r="I1872" s="66" t="s">
        <v>180</v>
      </c>
      <c r="J1872" s="524">
        <v>7787000</v>
      </c>
      <c r="K1872" s="453"/>
      <c r="L1872" s="526">
        <f>SUM(J1872:K1872)</f>
        <v>7787000</v>
      </c>
      <c r="M1872" s="526"/>
      <c r="N1872" s="526"/>
      <c r="O1872" s="526"/>
      <c r="P1872" s="526"/>
      <c r="Q1872" s="526"/>
      <c r="R1872" s="526"/>
      <c r="S1872" s="217">
        <f t="shared" ref="S1872:S1876" si="2185">SUM(M1872:R1872)</f>
        <v>0</v>
      </c>
      <c r="T1872" s="217">
        <f t="shared" ref="T1872:T1876" si="2186">S1872+L1872</f>
        <v>7787000</v>
      </c>
      <c r="U1872" s="526"/>
      <c r="V1872" s="526"/>
      <c r="W1872" s="526"/>
      <c r="X1872" s="526"/>
      <c r="Y1872" s="526"/>
      <c r="Z1872" s="217">
        <f>SUM(U1872:Y1872)</f>
        <v>0</v>
      </c>
      <c r="AA1872" s="217">
        <f>Z1872+T1872</f>
        <v>7787000</v>
      </c>
      <c r="AB1872" s="526"/>
      <c r="AC1872" s="526"/>
      <c r="AD1872" s="526"/>
      <c r="AE1872" s="526">
        <v>-3185464</v>
      </c>
      <c r="AF1872" s="526"/>
      <c r="AG1872" s="217">
        <f t="shared" ref="AG1872:AG1874" si="2187">SUM(AB1872:AF1872)</f>
        <v>-3185464</v>
      </c>
      <c r="AH1872" s="217">
        <f t="shared" ref="AH1872:AH1874" si="2188">AG1872+AA1872</f>
        <v>4601536</v>
      </c>
      <c r="AI1872" s="217"/>
      <c r="AJ1872" s="764"/>
    </row>
    <row r="1873" spans="1:36" ht="13.5" customHeight="1">
      <c r="A1873" s="40"/>
      <c r="B1873" s="40"/>
      <c r="C1873" s="124"/>
      <c r="D1873" s="124">
        <v>2</v>
      </c>
      <c r="E1873" s="124" t="s">
        <v>199</v>
      </c>
      <c r="F1873" s="41"/>
      <c r="G1873" s="41"/>
      <c r="H1873" s="163"/>
      <c r="I1873" s="66" t="s">
        <v>182</v>
      </c>
      <c r="J1873" s="524">
        <v>1713000</v>
      </c>
      <c r="K1873" s="453"/>
      <c r="L1873" s="526">
        <f>SUM(J1873:K1873)</f>
        <v>1713000</v>
      </c>
      <c r="M1873" s="526"/>
      <c r="N1873" s="526"/>
      <c r="O1873" s="526"/>
      <c r="P1873" s="526"/>
      <c r="Q1873" s="526"/>
      <c r="R1873" s="526"/>
      <c r="S1873" s="217">
        <f t="shared" si="2185"/>
        <v>0</v>
      </c>
      <c r="T1873" s="217">
        <f t="shared" si="2186"/>
        <v>1713000</v>
      </c>
      <c r="U1873" s="526"/>
      <c r="V1873" s="526"/>
      <c r="W1873" s="526"/>
      <c r="X1873" s="526"/>
      <c r="Y1873" s="526"/>
      <c r="Z1873" s="217">
        <f>SUM(U1873:Y1873)</f>
        <v>0</v>
      </c>
      <c r="AA1873" s="217">
        <f>Z1873+T1873</f>
        <v>1713000</v>
      </c>
      <c r="AB1873" s="526"/>
      <c r="AC1873" s="526"/>
      <c r="AD1873" s="526"/>
      <c r="AE1873" s="526">
        <v>-815700</v>
      </c>
      <c r="AF1873" s="526"/>
      <c r="AG1873" s="217">
        <f t="shared" si="2187"/>
        <v>-815700</v>
      </c>
      <c r="AH1873" s="217">
        <f t="shared" si="2188"/>
        <v>897300</v>
      </c>
      <c r="AI1873" s="217"/>
      <c r="AJ1873" s="764"/>
    </row>
    <row r="1874" spans="1:36" ht="13.5" customHeight="1">
      <c r="A1874" s="40"/>
      <c r="B1874" s="40"/>
      <c r="C1874" s="124"/>
      <c r="D1874" s="124">
        <v>3</v>
      </c>
      <c r="E1874" s="124" t="s">
        <v>199</v>
      </c>
      <c r="F1874" s="41"/>
      <c r="G1874" s="41"/>
      <c r="H1874" s="162"/>
      <c r="I1874" s="125" t="s">
        <v>116</v>
      </c>
      <c r="J1874" s="524">
        <v>67644500</v>
      </c>
      <c r="K1874" s="453"/>
      <c r="L1874" s="526">
        <f>SUM(J1874:K1874)</f>
        <v>67644500</v>
      </c>
      <c r="M1874" s="526"/>
      <c r="N1874" s="526"/>
      <c r="O1874" s="526"/>
      <c r="P1874" s="526"/>
      <c r="Q1874" s="526"/>
      <c r="R1874" s="526"/>
      <c r="S1874" s="217">
        <f t="shared" si="2185"/>
        <v>0</v>
      </c>
      <c r="T1874" s="217">
        <f t="shared" si="2186"/>
        <v>67644500</v>
      </c>
      <c r="U1874" s="526"/>
      <c r="V1874" s="526"/>
      <c r="W1874" s="526"/>
      <c r="X1874" s="526"/>
      <c r="Y1874" s="526"/>
      <c r="Z1874" s="217">
        <f>SUM(U1874:Y1874)</f>
        <v>0</v>
      </c>
      <c r="AA1874" s="217">
        <f>Z1874+T1874</f>
        <v>67644500</v>
      </c>
      <c r="AB1874" s="526"/>
      <c r="AC1874" s="526"/>
      <c r="AD1874" s="526"/>
      <c r="AE1874" s="526">
        <v>-458892</v>
      </c>
      <c r="AF1874" s="526"/>
      <c r="AG1874" s="217">
        <f t="shared" si="2187"/>
        <v>-458892</v>
      </c>
      <c r="AH1874" s="217">
        <f t="shared" si="2188"/>
        <v>67185608</v>
      </c>
      <c r="AI1874" s="217">
        <v>206100</v>
      </c>
      <c r="AJ1874" s="764">
        <f t="shared" ref="AJ1874" si="2189">AI1874/AH1874*100</f>
        <v>0.30676212679358356</v>
      </c>
    </row>
    <row r="1875" spans="1:36" ht="13.5" customHeight="1">
      <c r="A1875" s="40"/>
      <c r="B1875" s="40"/>
      <c r="C1875" s="124">
        <v>2</v>
      </c>
      <c r="D1875" s="124"/>
      <c r="E1875" s="124"/>
      <c r="F1875" s="41"/>
      <c r="G1875" s="41"/>
      <c r="H1875" s="162" t="s">
        <v>211</v>
      </c>
      <c r="I1875" s="66"/>
      <c r="J1875" s="524"/>
      <c r="K1875" s="525"/>
      <c r="L1875" s="526"/>
      <c r="M1875" s="526"/>
      <c r="N1875" s="526"/>
      <c r="O1875" s="526"/>
      <c r="P1875" s="526"/>
      <c r="Q1875" s="526"/>
      <c r="R1875" s="526"/>
      <c r="S1875" s="217"/>
      <c r="T1875" s="217"/>
      <c r="U1875" s="526"/>
      <c r="V1875" s="526"/>
      <c r="W1875" s="526"/>
      <c r="X1875" s="526"/>
      <c r="Y1875" s="526"/>
      <c r="Z1875" s="217"/>
      <c r="AA1875" s="217"/>
      <c r="AB1875" s="526"/>
      <c r="AC1875" s="526"/>
      <c r="AD1875" s="526"/>
      <c r="AE1875" s="526"/>
      <c r="AF1875" s="526"/>
      <c r="AG1875" s="217"/>
      <c r="AH1875" s="217"/>
      <c r="AI1875" s="217"/>
      <c r="AJ1875" s="764"/>
    </row>
    <row r="1876" spans="1:36" ht="13.5" customHeight="1">
      <c r="A1876" s="40"/>
      <c r="B1876" s="40"/>
      <c r="C1876" s="124"/>
      <c r="D1876" s="124">
        <v>6</v>
      </c>
      <c r="E1876" s="124" t="s">
        <v>199</v>
      </c>
      <c r="F1876" s="41"/>
      <c r="G1876" s="41"/>
      <c r="H1876" s="163"/>
      <c r="I1876" s="125" t="s">
        <v>213</v>
      </c>
      <c r="J1876" s="524"/>
      <c r="K1876" s="525">
        <v>203986750</v>
      </c>
      <c r="L1876" s="454">
        <f>SUM(J1876:K1876)</f>
        <v>203986750</v>
      </c>
      <c r="M1876" s="454"/>
      <c r="N1876" s="454"/>
      <c r="O1876" s="454"/>
      <c r="P1876" s="454"/>
      <c r="Q1876" s="454"/>
      <c r="R1876" s="454"/>
      <c r="S1876" s="217">
        <f t="shared" si="2185"/>
        <v>0</v>
      </c>
      <c r="T1876" s="217">
        <f t="shared" si="2186"/>
        <v>203986750</v>
      </c>
      <c r="U1876" s="454"/>
      <c r="V1876" s="454"/>
      <c r="W1876" s="454"/>
      <c r="X1876" s="454"/>
      <c r="Y1876" s="454"/>
      <c r="Z1876" s="217">
        <f>SUM(U1876:Y1876)</f>
        <v>0</v>
      </c>
      <c r="AA1876" s="217">
        <f>Z1876+T1876</f>
        <v>203986750</v>
      </c>
      <c r="AB1876" s="454"/>
      <c r="AC1876" s="454"/>
      <c r="AD1876" s="454"/>
      <c r="AE1876" s="454">
        <v>51804965</v>
      </c>
      <c r="AF1876" s="454"/>
      <c r="AG1876" s="217">
        <f t="shared" ref="AG1876" si="2190">SUM(AB1876:AF1876)</f>
        <v>51804965</v>
      </c>
      <c r="AH1876" s="217">
        <f t="shared" ref="AH1876" si="2191">AG1876+AA1876</f>
        <v>255791715</v>
      </c>
      <c r="AI1876" s="217"/>
      <c r="AJ1876" s="764"/>
    </row>
    <row r="1877" spans="1:36" ht="13.5" customHeight="1">
      <c r="A1877" s="40"/>
      <c r="B1877" s="40"/>
      <c r="C1877" s="124"/>
      <c r="D1877" s="124"/>
      <c r="E1877" s="124"/>
      <c r="F1877" s="41"/>
      <c r="G1877" s="41"/>
      <c r="H1877" s="163"/>
      <c r="I1877" s="125"/>
      <c r="J1877" s="524"/>
      <c r="K1877" s="525"/>
      <c r="L1877" s="526"/>
      <c r="M1877" s="526"/>
      <c r="N1877" s="526"/>
      <c r="O1877" s="526"/>
      <c r="P1877" s="526"/>
      <c r="Q1877" s="526"/>
      <c r="R1877" s="526"/>
      <c r="S1877" s="526"/>
      <c r="T1877" s="526"/>
      <c r="U1877" s="526"/>
      <c r="V1877" s="526"/>
      <c r="W1877" s="526"/>
      <c r="X1877" s="526"/>
      <c r="Y1877" s="526"/>
      <c r="Z1877" s="526"/>
      <c r="AA1877" s="526"/>
      <c r="AB1877" s="526"/>
      <c r="AC1877" s="526"/>
      <c r="AD1877" s="526"/>
      <c r="AE1877" s="526"/>
      <c r="AF1877" s="526"/>
      <c r="AG1877" s="526"/>
      <c r="AH1877" s="526"/>
      <c r="AI1877" s="526"/>
      <c r="AJ1877" s="779"/>
    </row>
    <row r="1878" spans="1:36" ht="13.5" customHeight="1">
      <c r="A1878" s="40"/>
      <c r="B1878" s="40"/>
      <c r="C1878" s="124"/>
      <c r="D1878" s="124"/>
      <c r="E1878" s="124"/>
      <c r="F1878" s="42"/>
      <c r="G1878" s="42"/>
      <c r="H1878" s="165"/>
      <c r="I1878" s="166" t="s">
        <v>37</v>
      </c>
      <c r="J1878" s="528">
        <f>SUM(J1872:J1877)</f>
        <v>77144500</v>
      </c>
      <c r="K1878" s="529">
        <f>SUM(K1869:K1877)</f>
        <v>203986750</v>
      </c>
      <c r="L1878" s="530">
        <f>SUM(L1869:L1877)</f>
        <v>281131250</v>
      </c>
      <c r="M1878" s="530">
        <f t="shared" ref="M1878:T1878" si="2192">SUM(M1869:M1877)</f>
        <v>0</v>
      </c>
      <c r="N1878" s="530">
        <f t="shared" si="2192"/>
        <v>0</v>
      </c>
      <c r="O1878" s="530">
        <f t="shared" si="2192"/>
        <v>0</v>
      </c>
      <c r="P1878" s="530">
        <f t="shared" si="2192"/>
        <v>0</v>
      </c>
      <c r="Q1878" s="530">
        <f t="shared" si="2192"/>
        <v>0</v>
      </c>
      <c r="R1878" s="530">
        <f t="shared" si="2192"/>
        <v>0</v>
      </c>
      <c r="S1878" s="530">
        <f t="shared" si="2192"/>
        <v>0</v>
      </c>
      <c r="T1878" s="530">
        <f t="shared" si="2192"/>
        <v>281131250</v>
      </c>
      <c r="U1878" s="530"/>
      <c r="V1878" s="530"/>
      <c r="W1878" s="530"/>
      <c r="X1878" s="530"/>
      <c r="Y1878" s="530"/>
      <c r="Z1878" s="530">
        <f t="shared" ref="Z1878:AA1878" si="2193">SUM(Z1869:Z1877)</f>
        <v>0</v>
      </c>
      <c r="AA1878" s="530">
        <f t="shared" si="2193"/>
        <v>281131250</v>
      </c>
      <c r="AB1878" s="530"/>
      <c r="AC1878" s="530"/>
      <c r="AD1878" s="530"/>
      <c r="AE1878" s="530">
        <f t="shared" ref="AE1878:AI1878" si="2194">SUM(AE1869:AE1877)</f>
        <v>47344909</v>
      </c>
      <c r="AF1878" s="530"/>
      <c r="AG1878" s="530">
        <f t="shared" si="2194"/>
        <v>47344909</v>
      </c>
      <c r="AH1878" s="530">
        <f t="shared" si="2194"/>
        <v>328476159</v>
      </c>
      <c r="AI1878" s="530">
        <f t="shared" si="2194"/>
        <v>206100</v>
      </c>
      <c r="AJ1878" s="776">
        <f>AI1878/AH1878*100</f>
        <v>6.2744279714985335E-2</v>
      </c>
    </row>
    <row r="1879" spans="1:36" ht="14">
      <c r="A1879" s="40"/>
      <c r="B1879" s="40"/>
      <c r="C1879" s="124"/>
      <c r="D1879" s="124"/>
      <c r="E1879" s="124"/>
      <c r="F1879" s="41"/>
      <c r="G1879" s="41"/>
      <c r="H1879" s="63"/>
      <c r="I1879" s="41"/>
      <c r="J1879" s="680"/>
      <c r="K1879" s="679"/>
      <c r="L1879" s="678"/>
      <c r="M1879" s="678"/>
      <c r="N1879" s="678"/>
      <c r="O1879" s="678"/>
      <c r="P1879" s="678"/>
      <c r="Q1879" s="678"/>
      <c r="R1879" s="678"/>
      <c r="S1879" s="678"/>
      <c r="T1879" s="678"/>
      <c r="U1879" s="678"/>
      <c r="V1879" s="678"/>
      <c r="W1879" s="678"/>
      <c r="X1879" s="678"/>
      <c r="Y1879" s="678"/>
      <c r="Z1879" s="678"/>
      <c r="AA1879" s="678"/>
      <c r="AB1879" s="702"/>
      <c r="AC1879" s="702"/>
      <c r="AD1879" s="702"/>
      <c r="AE1879" s="702"/>
      <c r="AF1879" s="702"/>
      <c r="AG1879" s="702"/>
      <c r="AH1879" s="702"/>
      <c r="AI1879" s="702"/>
      <c r="AJ1879" s="780"/>
    </row>
    <row r="1880" spans="1:36" ht="14">
      <c r="A1880" s="40">
        <v>222</v>
      </c>
      <c r="B1880" s="40"/>
      <c r="C1880" s="124"/>
      <c r="D1880" s="124"/>
      <c r="E1880" s="124"/>
      <c r="F1880" s="942" t="s">
        <v>564</v>
      </c>
      <c r="G1880" s="935"/>
      <c r="H1880" s="935"/>
      <c r="I1880" s="936"/>
      <c r="J1880" s="452"/>
      <c r="K1880" s="453"/>
      <c r="L1880" s="454"/>
      <c r="M1880" s="454"/>
      <c r="N1880" s="454"/>
      <c r="O1880" s="454"/>
      <c r="P1880" s="454"/>
      <c r="Q1880" s="454"/>
      <c r="R1880" s="454"/>
      <c r="S1880" s="454"/>
      <c r="T1880" s="454"/>
      <c r="U1880" s="454"/>
      <c r="V1880" s="454"/>
      <c r="W1880" s="454"/>
      <c r="X1880" s="454"/>
      <c r="Y1880" s="454"/>
      <c r="Z1880" s="454"/>
      <c r="AA1880" s="454"/>
      <c r="AB1880" s="454"/>
      <c r="AC1880" s="454"/>
      <c r="AD1880" s="454"/>
      <c r="AE1880" s="454"/>
      <c r="AF1880" s="454"/>
      <c r="AG1880" s="454"/>
      <c r="AH1880" s="454"/>
      <c r="AI1880" s="454"/>
      <c r="AJ1880" s="769"/>
    </row>
    <row r="1881" spans="1:36" ht="14">
      <c r="A1881" s="40"/>
      <c r="B1881" s="40"/>
      <c r="C1881" s="124">
        <v>2</v>
      </c>
      <c r="D1881" s="124"/>
      <c r="E1881" s="124"/>
      <c r="F1881" s="41"/>
      <c r="G1881" s="41"/>
      <c r="H1881" s="162" t="s">
        <v>211</v>
      </c>
      <c r="I1881" s="125"/>
      <c r="J1881" s="524"/>
      <c r="K1881" s="525"/>
      <c r="L1881" s="526"/>
      <c r="M1881" s="526"/>
      <c r="N1881" s="526"/>
      <c r="O1881" s="526"/>
      <c r="P1881" s="526"/>
      <c r="Q1881" s="526"/>
      <c r="R1881" s="526"/>
      <c r="S1881" s="526"/>
      <c r="T1881" s="526"/>
      <c r="U1881" s="526"/>
      <c r="V1881" s="526"/>
      <c r="W1881" s="526"/>
      <c r="X1881" s="526"/>
      <c r="Y1881" s="526"/>
      <c r="Z1881" s="526"/>
      <c r="AA1881" s="526"/>
      <c r="AB1881" s="526"/>
      <c r="AC1881" s="526"/>
      <c r="AD1881" s="526"/>
      <c r="AE1881" s="526"/>
      <c r="AF1881" s="526"/>
      <c r="AG1881" s="526"/>
      <c r="AH1881" s="526"/>
      <c r="AI1881" s="526"/>
      <c r="AJ1881" s="779"/>
    </row>
    <row r="1882" spans="1:36" ht="14">
      <c r="A1882" s="40"/>
      <c r="B1882" s="40"/>
      <c r="C1882" s="124"/>
      <c r="D1882" s="124">
        <v>6</v>
      </c>
      <c r="E1882" s="124" t="s">
        <v>199</v>
      </c>
      <c r="F1882" s="41"/>
      <c r="G1882" s="41"/>
      <c r="H1882" s="163"/>
      <c r="I1882" s="125" t="s">
        <v>213</v>
      </c>
      <c r="J1882" s="524"/>
      <c r="K1882" s="525">
        <v>17380000</v>
      </c>
      <c r="L1882" s="454"/>
      <c r="M1882" s="454"/>
      <c r="N1882" s="454"/>
      <c r="O1882" s="454"/>
      <c r="P1882" s="454"/>
      <c r="Q1882" s="454">
        <v>1563370</v>
      </c>
      <c r="R1882" s="454"/>
      <c r="S1882" s="217">
        <f t="shared" ref="S1882" si="2195">SUM(M1882:R1882)</f>
        <v>1563370</v>
      </c>
      <c r="T1882" s="217">
        <f t="shared" ref="T1882" si="2196">S1882+L1882</f>
        <v>1563370</v>
      </c>
      <c r="U1882" s="454"/>
      <c r="V1882" s="454"/>
      <c r="W1882" s="454"/>
      <c r="X1882" s="454">
        <v>1269453</v>
      </c>
      <c r="Y1882" s="454"/>
      <c r="Z1882" s="217">
        <f>SUM(U1882:Y1882)</f>
        <v>1269453</v>
      </c>
      <c r="AA1882" s="217">
        <f>Z1882+T1882</f>
        <v>2832823</v>
      </c>
      <c r="AB1882" s="454"/>
      <c r="AC1882" s="454"/>
      <c r="AD1882" s="454"/>
      <c r="AE1882" s="454">
        <v>7228577</v>
      </c>
      <c r="AF1882" s="454"/>
      <c r="AG1882" s="217">
        <f t="shared" ref="AG1882" si="2197">SUM(AB1882:AF1882)</f>
        <v>7228577</v>
      </c>
      <c r="AH1882" s="217">
        <f t="shared" ref="AH1882" si="2198">AG1882+AA1882</f>
        <v>10061400</v>
      </c>
      <c r="AI1882" s="217">
        <v>3271733</v>
      </c>
      <c r="AJ1882" s="764">
        <f t="shared" ref="AJ1882" si="2199">AI1882/AH1882*100</f>
        <v>32.517671497008372</v>
      </c>
    </row>
    <row r="1883" spans="1:36" ht="14">
      <c r="A1883" s="40"/>
      <c r="B1883" s="40"/>
      <c r="C1883" s="124"/>
      <c r="D1883" s="124"/>
      <c r="E1883" s="124"/>
      <c r="F1883" s="41"/>
      <c r="G1883" s="41"/>
      <c r="H1883" s="163"/>
      <c r="I1883" s="125"/>
      <c r="J1883" s="524"/>
      <c r="K1883" s="525"/>
      <c r="L1883" s="526"/>
      <c r="M1883" s="526"/>
      <c r="N1883" s="526"/>
      <c r="O1883" s="526"/>
      <c r="P1883" s="526"/>
      <c r="Q1883" s="526"/>
      <c r="R1883" s="526"/>
      <c r="S1883" s="526"/>
      <c r="T1883" s="526"/>
      <c r="U1883" s="526"/>
      <c r="V1883" s="526"/>
      <c r="W1883" s="526"/>
      <c r="X1883" s="526"/>
      <c r="Y1883" s="526"/>
      <c r="Z1883" s="526"/>
      <c r="AA1883" s="526"/>
      <c r="AB1883" s="526"/>
      <c r="AC1883" s="526"/>
      <c r="AD1883" s="526"/>
      <c r="AE1883" s="526"/>
      <c r="AF1883" s="526"/>
      <c r="AG1883" s="526"/>
      <c r="AH1883" s="526"/>
      <c r="AI1883" s="526"/>
      <c r="AJ1883" s="779"/>
    </row>
    <row r="1884" spans="1:36" ht="14">
      <c r="A1884" s="40"/>
      <c r="B1884" s="40"/>
      <c r="C1884" s="124"/>
      <c r="D1884" s="124"/>
      <c r="E1884" s="124"/>
      <c r="F1884" s="42"/>
      <c r="G1884" s="42"/>
      <c r="H1884" s="165"/>
      <c r="I1884" s="166" t="s">
        <v>37</v>
      </c>
      <c r="J1884" s="528"/>
      <c r="K1884" s="529">
        <f>SUM(K1879:K1883)</f>
        <v>17380000</v>
      </c>
      <c r="L1884" s="530">
        <f>SUM(L1879:L1883)</f>
        <v>0</v>
      </c>
      <c r="M1884" s="530">
        <f t="shared" ref="M1884:T1884" si="2200">SUM(M1879:M1883)</f>
        <v>0</v>
      </c>
      <c r="N1884" s="530">
        <f t="shared" si="2200"/>
        <v>0</v>
      </c>
      <c r="O1884" s="530">
        <f t="shared" si="2200"/>
        <v>0</v>
      </c>
      <c r="P1884" s="530">
        <f t="shared" si="2200"/>
        <v>0</v>
      </c>
      <c r="Q1884" s="530">
        <f t="shared" si="2200"/>
        <v>1563370</v>
      </c>
      <c r="R1884" s="530">
        <f t="shared" si="2200"/>
        <v>0</v>
      </c>
      <c r="S1884" s="530">
        <f t="shared" si="2200"/>
        <v>1563370</v>
      </c>
      <c r="T1884" s="530">
        <f t="shared" si="2200"/>
        <v>1563370</v>
      </c>
      <c r="U1884" s="530"/>
      <c r="V1884" s="530"/>
      <c r="W1884" s="530"/>
      <c r="X1884" s="530">
        <f t="shared" ref="X1884:AA1884" si="2201">SUM(X1879:X1883)</f>
        <v>1269453</v>
      </c>
      <c r="Y1884" s="530"/>
      <c r="Z1884" s="530">
        <f t="shared" si="2201"/>
        <v>1269453</v>
      </c>
      <c r="AA1884" s="530">
        <f t="shared" si="2201"/>
        <v>2832823</v>
      </c>
      <c r="AB1884" s="530"/>
      <c r="AC1884" s="530"/>
      <c r="AD1884" s="530"/>
      <c r="AE1884" s="530">
        <f t="shared" ref="AE1884:AI1884" si="2202">SUM(AE1879:AE1883)</f>
        <v>7228577</v>
      </c>
      <c r="AF1884" s="530">
        <f t="shared" si="2202"/>
        <v>0</v>
      </c>
      <c r="AG1884" s="530">
        <f t="shared" si="2202"/>
        <v>7228577</v>
      </c>
      <c r="AH1884" s="530">
        <f t="shared" si="2202"/>
        <v>10061400</v>
      </c>
      <c r="AI1884" s="530">
        <f t="shared" si="2202"/>
        <v>3271733</v>
      </c>
      <c r="AJ1884" s="776">
        <f>AI1884/AH1884*100</f>
        <v>32.517671497008372</v>
      </c>
    </row>
    <row r="1885" spans="1:36" ht="14">
      <c r="A1885" s="40"/>
      <c r="B1885" s="40"/>
      <c r="C1885" s="124"/>
      <c r="D1885" s="124"/>
      <c r="E1885" s="124"/>
      <c r="F1885" s="41"/>
      <c r="G1885" s="41"/>
      <c r="H1885" s="63"/>
      <c r="I1885" s="41"/>
      <c r="J1885" s="680"/>
      <c r="K1885" s="679"/>
      <c r="L1885" s="678"/>
      <c r="M1885" s="678"/>
      <c r="N1885" s="678"/>
      <c r="O1885" s="678"/>
      <c r="P1885" s="678"/>
      <c r="Q1885" s="678"/>
      <c r="R1885" s="678"/>
      <c r="S1885" s="678"/>
      <c r="T1885" s="678"/>
      <c r="U1885" s="678"/>
      <c r="V1885" s="678"/>
      <c r="W1885" s="678"/>
      <c r="X1885" s="678"/>
      <c r="Y1885" s="678"/>
      <c r="Z1885" s="678"/>
      <c r="AA1885" s="678"/>
      <c r="AB1885" s="702"/>
      <c r="AC1885" s="702"/>
      <c r="AD1885" s="702"/>
      <c r="AE1885" s="702"/>
      <c r="AF1885" s="702"/>
      <c r="AG1885" s="702"/>
      <c r="AH1885" s="702"/>
      <c r="AI1885" s="702"/>
      <c r="AJ1885" s="780"/>
    </row>
    <row r="1886" spans="1:36" ht="14">
      <c r="A1886" s="40">
        <v>223</v>
      </c>
      <c r="B1886" s="40"/>
      <c r="C1886" s="124"/>
      <c r="D1886" s="124"/>
      <c r="E1886" s="124"/>
      <c r="F1886" s="942" t="s">
        <v>565</v>
      </c>
      <c r="G1886" s="935"/>
      <c r="H1886" s="935"/>
      <c r="I1886" s="936"/>
      <c r="J1886" s="452"/>
      <c r="K1886" s="453"/>
      <c r="L1886" s="454"/>
      <c r="M1886" s="454"/>
      <c r="N1886" s="454"/>
      <c r="O1886" s="454"/>
      <c r="P1886" s="454"/>
      <c r="Q1886" s="454"/>
      <c r="R1886" s="454"/>
      <c r="S1886" s="454"/>
      <c r="T1886" s="454"/>
      <c r="U1886" s="454"/>
      <c r="V1886" s="454"/>
      <c r="W1886" s="454"/>
      <c r="X1886" s="454"/>
      <c r="Y1886" s="454"/>
      <c r="Z1886" s="454"/>
      <c r="AA1886" s="454"/>
      <c r="AB1886" s="454"/>
      <c r="AC1886" s="454"/>
      <c r="AD1886" s="454"/>
      <c r="AE1886" s="454"/>
      <c r="AF1886" s="454"/>
      <c r="AG1886" s="454"/>
      <c r="AH1886" s="454"/>
      <c r="AI1886" s="454"/>
      <c r="AJ1886" s="769"/>
    </row>
    <row r="1887" spans="1:36" ht="14">
      <c r="A1887" s="160"/>
      <c r="B1887" s="160"/>
      <c r="C1887" s="161">
        <v>1</v>
      </c>
      <c r="D1887" s="161"/>
      <c r="E1887" s="161"/>
      <c r="F1887" s="669"/>
      <c r="G1887" s="669"/>
      <c r="H1887" s="162" t="s">
        <v>35</v>
      </c>
      <c r="I1887" s="162"/>
      <c r="J1887" s="454"/>
      <c r="K1887" s="483"/>
      <c r="L1887" s="454"/>
      <c r="M1887" s="454"/>
      <c r="N1887" s="454"/>
      <c r="O1887" s="454"/>
      <c r="P1887" s="454"/>
      <c r="Q1887" s="454"/>
      <c r="R1887" s="454"/>
      <c r="S1887" s="454"/>
      <c r="T1887" s="454"/>
      <c r="U1887" s="454"/>
      <c r="V1887" s="454"/>
      <c r="W1887" s="454"/>
      <c r="X1887" s="454"/>
      <c r="Y1887" s="454"/>
      <c r="Z1887" s="454"/>
      <c r="AA1887" s="454"/>
      <c r="AB1887" s="454"/>
      <c r="AC1887" s="454"/>
      <c r="AD1887" s="454"/>
      <c r="AE1887" s="454"/>
      <c r="AF1887" s="454"/>
      <c r="AG1887" s="454"/>
      <c r="AH1887" s="454"/>
      <c r="AI1887" s="454"/>
      <c r="AJ1887" s="769"/>
    </row>
    <row r="1888" spans="1:36" ht="14">
      <c r="A1888" s="160"/>
      <c r="B1888" s="160"/>
      <c r="C1888" s="161"/>
      <c r="D1888" s="161">
        <v>3</v>
      </c>
      <c r="E1888" s="161" t="s">
        <v>199</v>
      </c>
      <c r="F1888" s="669"/>
      <c r="G1888" s="669"/>
      <c r="H1888" s="669"/>
      <c r="I1888" s="575" t="s">
        <v>116</v>
      </c>
      <c r="J1888" s="454"/>
      <c r="K1888" s="483"/>
      <c r="L1888" s="454"/>
      <c r="M1888" s="454"/>
      <c r="N1888" s="454"/>
      <c r="O1888" s="454"/>
      <c r="P1888" s="454"/>
      <c r="Q1888" s="454"/>
      <c r="R1888" s="454"/>
      <c r="S1888" s="454"/>
      <c r="T1888" s="454"/>
      <c r="U1888" s="454"/>
      <c r="V1888" s="454"/>
      <c r="W1888" s="454"/>
      <c r="X1888" s="454">
        <v>133985</v>
      </c>
      <c r="Y1888" s="454"/>
      <c r="Z1888" s="217">
        <f t="shared" ref="Z1888:Z1889" si="2203">SUM(U1888:Y1888)</f>
        <v>133985</v>
      </c>
      <c r="AA1888" s="217">
        <f t="shared" ref="AA1888:AA1889" si="2204">Z1888+T1888</f>
        <v>133985</v>
      </c>
      <c r="AB1888" s="454"/>
      <c r="AC1888" s="454"/>
      <c r="AD1888" s="454"/>
      <c r="AE1888" s="454"/>
      <c r="AF1888" s="454"/>
      <c r="AG1888" s="217">
        <f t="shared" ref="AG1888" si="2205">SUM(AB1888:AF1888)</f>
        <v>0</v>
      </c>
      <c r="AH1888" s="217">
        <f t="shared" ref="AH1888" si="2206">AG1888+AA1888</f>
        <v>133985</v>
      </c>
      <c r="AI1888" s="217">
        <v>133985</v>
      </c>
      <c r="AJ1888" s="764">
        <f t="shared" ref="AJ1888:AJ1890" si="2207">AI1888/AH1888*100</f>
        <v>100</v>
      </c>
    </row>
    <row r="1889" spans="1:36" ht="14">
      <c r="A1889" s="40"/>
      <c r="B1889" s="40"/>
      <c r="C1889" s="124">
        <v>2</v>
      </c>
      <c r="D1889" s="124"/>
      <c r="E1889" s="124"/>
      <c r="F1889" s="41"/>
      <c r="G1889" s="41"/>
      <c r="H1889" s="162" t="s">
        <v>211</v>
      </c>
      <c r="I1889" s="125"/>
      <c r="J1889" s="524"/>
      <c r="K1889" s="525"/>
      <c r="L1889" s="526"/>
      <c r="M1889" s="526"/>
      <c r="N1889" s="526"/>
      <c r="O1889" s="526"/>
      <c r="P1889" s="526"/>
      <c r="Q1889" s="526"/>
      <c r="R1889" s="526"/>
      <c r="S1889" s="526"/>
      <c r="T1889" s="526"/>
      <c r="U1889" s="526"/>
      <c r="V1889" s="526"/>
      <c r="W1889" s="526"/>
      <c r="X1889" s="526"/>
      <c r="Y1889" s="526"/>
      <c r="Z1889" s="217">
        <f t="shared" si="2203"/>
        <v>0</v>
      </c>
      <c r="AA1889" s="217">
        <f t="shared" si="2204"/>
        <v>0</v>
      </c>
      <c r="AB1889" s="526"/>
      <c r="AC1889" s="526"/>
      <c r="AD1889" s="526"/>
      <c r="AE1889" s="526"/>
      <c r="AF1889" s="526"/>
      <c r="AG1889" s="217"/>
      <c r="AH1889" s="217"/>
      <c r="AI1889" s="217"/>
      <c r="AJ1889" s="764"/>
    </row>
    <row r="1890" spans="1:36" ht="14">
      <c r="A1890" s="40"/>
      <c r="B1890" s="40"/>
      <c r="C1890" s="124"/>
      <c r="D1890" s="124">
        <v>6</v>
      </c>
      <c r="E1890" s="124" t="s">
        <v>199</v>
      </c>
      <c r="F1890" s="41"/>
      <c r="G1890" s="41"/>
      <c r="H1890" s="163"/>
      <c r="I1890" s="125" t="s">
        <v>213</v>
      </c>
      <c r="J1890" s="524"/>
      <c r="K1890" s="525">
        <v>17380000</v>
      </c>
      <c r="L1890" s="454"/>
      <c r="M1890" s="454"/>
      <c r="N1890" s="454"/>
      <c r="O1890" s="454"/>
      <c r="P1890" s="454"/>
      <c r="Q1890" s="454">
        <v>300000</v>
      </c>
      <c r="R1890" s="454"/>
      <c r="S1890" s="217">
        <f t="shared" ref="S1890" si="2208">SUM(M1890:R1890)</f>
        <v>300000</v>
      </c>
      <c r="T1890" s="217">
        <f t="shared" ref="T1890" si="2209">S1890+L1890</f>
        <v>300000</v>
      </c>
      <c r="U1890" s="454"/>
      <c r="V1890" s="454"/>
      <c r="W1890" s="454"/>
      <c r="X1890" s="454"/>
      <c r="Y1890" s="454"/>
      <c r="Z1890" s="217">
        <f>SUM(U1890:Y1890)</f>
        <v>0</v>
      </c>
      <c r="AA1890" s="217">
        <f>Z1890+T1890</f>
        <v>300000</v>
      </c>
      <c r="AB1890" s="454"/>
      <c r="AC1890" s="454"/>
      <c r="AD1890" s="454"/>
      <c r="AE1890" s="454">
        <v>595700</v>
      </c>
      <c r="AF1890" s="454"/>
      <c r="AG1890" s="217">
        <f t="shared" ref="AG1890" si="2210">SUM(AB1890:AF1890)</f>
        <v>595700</v>
      </c>
      <c r="AH1890" s="217">
        <f t="shared" ref="AH1890" si="2211">AG1890+AA1890</f>
        <v>895700</v>
      </c>
      <c r="AI1890" s="217">
        <v>300000</v>
      </c>
      <c r="AJ1890" s="764">
        <f t="shared" si="2207"/>
        <v>33.493357150831756</v>
      </c>
    </row>
    <row r="1891" spans="1:36" ht="14">
      <c r="A1891" s="40"/>
      <c r="B1891" s="40"/>
      <c r="C1891" s="124"/>
      <c r="D1891" s="124"/>
      <c r="E1891" s="124"/>
      <c r="F1891" s="41"/>
      <c r="G1891" s="41"/>
      <c r="H1891" s="163"/>
      <c r="I1891" s="125"/>
      <c r="J1891" s="524"/>
      <c r="K1891" s="525"/>
      <c r="L1891" s="526"/>
      <c r="M1891" s="526"/>
      <c r="N1891" s="526"/>
      <c r="O1891" s="526"/>
      <c r="P1891" s="526"/>
      <c r="Q1891" s="526"/>
      <c r="R1891" s="526"/>
      <c r="S1891" s="526"/>
      <c r="T1891" s="526"/>
      <c r="U1891" s="526"/>
      <c r="V1891" s="526"/>
      <c r="W1891" s="526"/>
      <c r="X1891" s="526"/>
      <c r="Y1891" s="526"/>
      <c r="Z1891" s="526"/>
      <c r="AA1891" s="526"/>
      <c r="AB1891" s="526"/>
      <c r="AC1891" s="526"/>
      <c r="AD1891" s="526"/>
      <c r="AE1891" s="526"/>
      <c r="AF1891" s="526"/>
      <c r="AG1891" s="526"/>
      <c r="AH1891" s="526"/>
      <c r="AI1891" s="526"/>
      <c r="AJ1891" s="779"/>
    </row>
    <row r="1892" spans="1:36" ht="14">
      <c r="A1892" s="40"/>
      <c r="B1892" s="40"/>
      <c r="C1892" s="124"/>
      <c r="D1892" s="124"/>
      <c r="E1892" s="124"/>
      <c r="F1892" s="42"/>
      <c r="G1892" s="42"/>
      <c r="H1892" s="165"/>
      <c r="I1892" s="166" t="s">
        <v>37</v>
      </c>
      <c r="J1892" s="528"/>
      <c r="K1892" s="529">
        <f>SUM(K1885:K1891)</f>
        <v>17380000</v>
      </c>
      <c r="L1892" s="530">
        <f>SUM(L1885:L1891)</f>
        <v>0</v>
      </c>
      <c r="M1892" s="530">
        <f t="shared" ref="M1892:T1892" si="2212">SUM(M1885:M1891)</f>
        <v>0</v>
      </c>
      <c r="N1892" s="530">
        <f t="shared" si="2212"/>
        <v>0</v>
      </c>
      <c r="O1892" s="530">
        <f t="shared" si="2212"/>
        <v>0</v>
      </c>
      <c r="P1892" s="530">
        <f t="shared" si="2212"/>
        <v>0</v>
      </c>
      <c r="Q1892" s="530">
        <f t="shared" si="2212"/>
        <v>300000</v>
      </c>
      <c r="R1892" s="530">
        <f t="shared" si="2212"/>
        <v>0</v>
      </c>
      <c r="S1892" s="530">
        <f t="shared" si="2212"/>
        <v>300000</v>
      </c>
      <c r="T1892" s="530">
        <f t="shared" si="2212"/>
        <v>300000</v>
      </c>
      <c r="U1892" s="530"/>
      <c r="V1892" s="530"/>
      <c r="W1892" s="530"/>
      <c r="X1892" s="530">
        <f t="shared" ref="X1892:AA1892" si="2213">SUM(X1885:X1891)</f>
        <v>133985</v>
      </c>
      <c r="Y1892" s="530"/>
      <c r="Z1892" s="530">
        <f t="shared" si="2213"/>
        <v>133985</v>
      </c>
      <c r="AA1892" s="530">
        <f t="shared" si="2213"/>
        <v>433985</v>
      </c>
      <c r="AB1892" s="530"/>
      <c r="AC1892" s="530"/>
      <c r="AD1892" s="530"/>
      <c r="AE1892" s="530">
        <f t="shared" ref="AE1892" si="2214">SUM(AE1885:AE1891)</f>
        <v>595700</v>
      </c>
      <c r="AF1892" s="530"/>
      <c r="AG1892" s="530">
        <f t="shared" ref="AG1892:AI1892" si="2215">SUM(AG1885:AG1891)</f>
        <v>595700</v>
      </c>
      <c r="AH1892" s="530">
        <f t="shared" si="2215"/>
        <v>1029685</v>
      </c>
      <c r="AI1892" s="530">
        <f t="shared" si="2215"/>
        <v>433985</v>
      </c>
      <c r="AJ1892" s="776">
        <f>AI1892/AH1892*100</f>
        <v>42.147355744718048</v>
      </c>
    </row>
    <row r="1893" spans="1:36" ht="14">
      <c r="A1893" s="40"/>
      <c r="B1893" s="40"/>
      <c r="C1893" s="124"/>
      <c r="D1893" s="124"/>
      <c r="E1893" s="124"/>
      <c r="F1893" s="41"/>
      <c r="G1893" s="41"/>
      <c r="H1893" s="63"/>
      <c r="I1893" s="41"/>
      <c r="J1893" s="680"/>
      <c r="K1893" s="679"/>
      <c r="L1893" s="678"/>
      <c r="M1893" s="678"/>
      <c r="N1893" s="678"/>
      <c r="O1893" s="678"/>
      <c r="P1893" s="678"/>
      <c r="Q1893" s="678"/>
      <c r="R1893" s="678"/>
      <c r="S1893" s="678"/>
      <c r="T1893" s="678"/>
      <c r="U1893" s="678"/>
      <c r="V1893" s="678"/>
      <c r="W1893" s="678"/>
      <c r="X1893" s="678"/>
      <c r="Y1893" s="678"/>
      <c r="Z1893" s="678"/>
      <c r="AA1893" s="678"/>
      <c r="AB1893" s="702"/>
      <c r="AC1893" s="702"/>
      <c r="AD1893" s="702"/>
      <c r="AE1893" s="702"/>
      <c r="AF1893" s="702"/>
      <c r="AG1893" s="702"/>
      <c r="AH1893" s="702"/>
      <c r="AI1893" s="702"/>
      <c r="AJ1893" s="780"/>
    </row>
    <row r="1894" spans="1:36" ht="14">
      <c r="A1894" s="40">
        <v>224</v>
      </c>
      <c r="B1894" s="40"/>
      <c r="C1894" s="124"/>
      <c r="D1894" s="124"/>
      <c r="E1894" s="124"/>
      <c r="F1894" s="942" t="s">
        <v>649</v>
      </c>
      <c r="G1894" s="935"/>
      <c r="H1894" s="935"/>
      <c r="I1894" s="936"/>
      <c r="J1894" s="452"/>
      <c r="K1894" s="453"/>
      <c r="L1894" s="454"/>
      <c r="M1894" s="454"/>
      <c r="N1894" s="454"/>
      <c r="O1894" s="454"/>
      <c r="P1894" s="454"/>
      <c r="Q1894" s="454"/>
      <c r="R1894" s="454"/>
      <c r="S1894" s="454"/>
      <c r="T1894" s="454"/>
      <c r="U1894" s="454"/>
      <c r="V1894" s="454"/>
      <c r="W1894" s="454"/>
      <c r="X1894" s="454"/>
      <c r="Y1894" s="454"/>
      <c r="Z1894" s="454"/>
      <c r="AA1894" s="454"/>
      <c r="AB1894" s="454"/>
      <c r="AC1894" s="454"/>
      <c r="AD1894" s="454"/>
      <c r="AE1894" s="454"/>
      <c r="AF1894" s="454"/>
      <c r="AG1894" s="454"/>
      <c r="AH1894" s="454"/>
      <c r="AI1894" s="454"/>
      <c r="AJ1894" s="769"/>
    </row>
    <row r="1895" spans="1:36" ht="15.5" customHeight="1">
      <c r="A1895" s="40"/>
      <c r="B1895" s="40"/>
      <c r="C1895" s="124">
        <v>2</v>
      </c>
      <c r="D1895" s="124"/>
      <c r="E1895" s="124"/>
      <c r="F1895" s="41"/>
      <c r="G1895" s="41"/>
      <c r="H1895" s="162" t="s">
        <v>211</v>
      </c>
      <c r="I1895" s="125"/>
      <c r="J1895" s="524"/>
      <c r="K1895" s="525"/>
      <c r="L1895" s="526"/>
      <c r="M1895" s="526"/>
      <c r="N1895" s="526"/>
      <c r="O1895" s="526"/>
      <c r="P1895" s="526"/>
      <c r="Q1895" s="526"/>
      <c r="R1895" s="526"/>
      <c r="S1895" s="526"/>
      <c r="T1895" s="526"/>
      <c r="U1895" s="526"/>
      <c r="V1895" s="526"/>
      <c r="W1895" s="526"/>
      <c r="X1895" s="526"/>
      <c r="Y1895" s="526"/>
      <c r="Z1895" s="526"/>
      <c r="AA1895" s="526"/>
      <c r="AB1895" s="526"/>
      <c r="AC1895" s="526"/>
      <c r="AD1895" s="526"/>
      <c r="AE1895" s="526"/>
      <c r="AF1895" s="526"/>
      <c r="AG1895" s="526"/>
      <c r="AH1895" s="526"/>
      <c r="AI1895" s="526"/>
      <c r="AJ1895" s="779"/>
    </row>
    <row r="1896" spans="1:36" ht="15.5" customHeight="1">
      <c r="A1896" s="40"/>
      <c r="B1896" s="40"/>
      <c r="C1896" s="124"/>
      <c r="D1896" s="124">
        <v>6</v>
      </c>
      <c r="E1896" s="124" t="s">
        <v>199</v>
      </c>
      <c r="F1896" s="41"/>
      <c r="G1896" s="41"/>
      <c r="H1896" s="163"/>
      <c r="I1896" s="125" t="s">
        <v>213</v>
      </c>
      <c r="J1896" s="524"/>
      <c r="K1896" s="525">
        <v>17380000</v>
      </c>
      <c r="L1896" s="454"/>
      <c r="M1896" s="454"/>
      <c r="N1896" s="454"/>
      <c r="O1896" s="454"/>
      <c r="P1896" s="454">
        <v>1500000</v>
      </c>
      <c r="Q1896" s="454"/>
      <c r="R1896" s="454"/>
      <c r="S1896" s="217">
        <f t="shared" ref="S1896" si="2216">SUM(M1896:R1896)</f>
        <v>1500000</v>
      </c>
      <c r="T1896" s="217">
        <f t="shared" ref="T1896" si="2217">S1896+L1896</f>
        <v>1500000</v>
      </c>
      <c r="U1896" s="454"/>
      <c r="V1896" s="454"/>
      <c r="W1896" s="454"/>
      <c r="X1896" s="454"/>
      <c r="Y1896" s="454"/>
      <c r="Z1896" s="217">
        <f>SUM(U1896:Y1896)</f>
        <v>0</v>
      </c>
      <c r="AA1896" s="217">
        <f>Z1896+T1896</f>
        <v>1500000</v>
      </c>
      <c r="AB1896" s="454"/>
      <c r="AC1896" s="454"/>
      <c r="AD1896" s="454"/>
      <c r="AE1896" s="454"/>
      <c r="AF1896" s="454"/>
      <c r="AG1896" s="217">
        <f t="shared" ref="AG1896" si="2218">SUM(AB1896:AF1896)</f>
        <v>0</v>
      </c>
      <c r="AH1896" s="217">
        <f t="shared" ref="AH1896" si="2219">AG1896+AA1896</f>
        <v>1500000</v>
      </c>
      <c r="AI1896" s="217">
        <v>667233</v>
      </c>
      <c r="AJ1896" s="764">
        <f t="shared" ref="AJ1896" si="2220">AI1896/AH1896*100</f>
        <v>44.482199999999999</v>
      </c>
    </row>
    <row r="1897" spans="1:36" ht="15.5" customHeight="1">
      <c r="A1897" s="40"/>
      <c r="B1897" s="40"/>
      <c r="C1897" s="124"/>
      <c r="D1897" s="124"/>
      <c r="E1897" s="124"/>
      <c r="F1897" s="41"/>
      <c r="G1897" s="41"/>
      <c r="H1897" s="163"/>
      <c r="I1897" s="125"/>
      <c r="J1897" s="524"/>
      <c r="K1897" s="525"/>
      <c r="L1897" s="526"/>
      <c r="M1897" s="526"/>
      <c r="N1897" s="526"/>
      <c r="O1897" s="526"/>
      <c r="P1897" s="526"/>
      <c r="Q1897" s="526"/>
      <c r="R1897" s="526"/>
      <c r="S1897" s="526"/>
      <c r="T1897" s="526"/>
      <c r="U1897" s="526"/>
      <c r="V1897" s="526"/>
      <c r="W1897" s="526"/>
      <c r="X1897" s="526"/>
      <c r="Y1897" s="526"/>
      <c r="Z1897" s="526"/>
      <c r="AA1897" s="526"/>
      <c r="AB1897" s="526"/>
      <c r="AC1897" s="526"/>
      <c r="AD1897" s="526"/>
      <c r="AE1897" s="526"/>
      <c r="AF1897" s="526"/>
      <c r="AG1897" s="526"/>
      <c r="AH1897" s="526"/>
      <c r="AI1897" s="526"/>
      <c r="AJ1897" s="779"/>
    </row>
    <row r="1898" spans="1:36" ht="15.5" customHeight="1">
      <c r="A1898" s="40"/>
      <c r="B1898" s="40"/>
      <c r="C1898" s="124"/>
      <c r="D1898" s="124"/>
      <c r="E1898" s="124"/>
      <c r="F1898" s="42"/>
      <c r="G1898" s="42"/>
      <c r="H1898" s="165"/>
      <c r="I1898" s="166" t="s">
        <v>37</v>
      </c>
      <c r="J1898" s="528"/>
      <c r="K1898" s="529">
        <f>SUM(K1893:K1897)</f>
        <v>17380000</v>
      </c>
      <c r="L1898" s="530">
        <f>SUM(L1893:L1897)</f>
        <v>0</v>
      </c>
      <c r="M1898" s="530">
        <f t="shared" ref="M1898:T1898" si="2221">SUM(M1893:M1897)</f>
        <v>0</v>
      </c>
      <c r="N1898" s="530">
        <f t="shared" si="2221"/>
        <v>0</v>
      </c>
      <c r="O1898" s="530">
        <f t="shared" si="2221"/>
        <v>0</v>
      </c>
      <c r="P1898" s="530">
        <f t="shared" si="2221"/>
        <v>1500000</v>
      </c>
      <c r="Q1898" s="530">
        <f t="shared" si="2221"/>
        <v>0</v>
      </c>
      <c r="R1898" s="530">
        <f t="shared" si="2221"/>
        <v>0</v>
      </c>
      <c r="S1898" s="530">
        <f t="shared" si="2221"/>
        <v>1500000</v>
      </c>
      <c r="T1898" s="530">
        <f t="shared" si="2221"/>
        <v>1500000</v>
      </c>
      <c r="U1898" s="530"/>
      <c r="V1898" s="530"/>
      <c r="W1898" s="530"/>
      <c r="X1898" s="530"/>
      <c r="Y1898" s="530"/>
      <c r="Z1898" s="530">
        <f t="shared" ref="Z1898:AA1898" si="2222">SUM(Z1893:Z1897)</f>
        <v>0</v>
      </c>
      <c r="AA1898" s="530">
        <f t="shared" si="2222"/>
        <v>1500000</v>
      </c>
      <c r="AB1898" s="530"/>
      <c r="AC1898" s="530"/>
      <c r="AD1898" s="530"/>
      <c r="AE1898" s="530"/>
      <c r="AF1898" s="530"/>
      <c r="AG1898" s="530">
        <f t="shared" ref="AG1898:AI1898" si="2223">SUM(AG1893:AG1897)</f>
        <v>0</v>
      </c>
      <c r="AH1898" s="530">
        <f t="shared" si="2223"/>
        <v>1500000</v>
      </c>
      <c r="AI1898" s="530">
        <f t="shared" si="2223"/>
        <v>667233</v>
      </c>
      <c r="AJ1898" s="776">
        <f>AI1898/AH1898*100</f>
        <v>44.482199999999999</v>
      </c>
    </row>
    <row r="1899" spans="1:36" ht="15.5" customHeight="1">
      <c r="A1899" s="40"/>
      <c r="B1899" s="40"/>
      <c r="C1899" s="124"/>
      <c r="D1899" s="124"/>
      <c r="E1899" s="124"/>
      <c r="F1899" s="41"/>
      <c r="G1899" s="41"/>
      <c r="H1899" s="63"/>
      <c r="I1899" s="41"/>
      <c r="J1899" s="680"/>
      <c r="K1899" s="679"/>
      <c r="L1899" s="678"/>
      <c r="M1899" s="678"/>
      <c r="N1899" s="678"/>
      <c r="O1899" s="678"/>
      <c r="P1899" s="678"/>
      <c r="Q1899" s="678"/>
      <c r="R1899" s="678"/>
      <c r="S1899" s="678"/>
      <c r="T1899" s="678"/>
      <c r="U1899" s="678"/>
      <c r="V1899" s="678"/>
      <c r="W1899" s="678"/>
      <c r="X1899" s="678"/>
      <c r="Y1899" s="678"/>
      <c r="Z1899" s="678"/>
      <c r="AA1899" s="678"/>
      <c r="AB1899" s="702"/>
      <c r="AC1899" s="702"/>
      <c r="AD1899" s="702"/>
      <c r="AE1899" s="702"/>
      <c r="AF1899" s="702"/>
      <c r="AG1899" s="702"/>
      <c r="AH1899" s="702"/>
      <c r="AI1899" s="702"/>
      <c r="AJ1899" s="780"/>
    </row>
    <row r="1900" spans="1:36" ht="15.5" customHeight="1">
      <c r="A1900" s="40">
        <v>225</v>
      </c>
      <c r="B1900" s="40"/>
      <c r="C1900" s="124"/>
      <c r="D1900" s="124"/>
      <c r="E1900" s="124"/>
      <c r="F1900" s="942" t="s">
        <v>566</v>
      </c>
      <c r="G1900" s="935"/>
      <c r="H1900" s="935"/>
      <c r="I1900" s="936"/>
      <c r="J1900" s="452"/>
      <c r="K1900" s="453"/>
      <c r="L1900" s="454"/>
      <c r="M1900" s="454"/>
      <c r="N1900" s="454"/>
      <c r="O1900" s="454"/>
      <c r="P1900" s="454"/>
      <c r="Q1900" s="454"/>
      <c r="R1900" s="454"/>
      <c r="S1900" s="454"/>
      <c r="T1900" s="454"/>
      <c r="U1900" s="454"/>
      <c r="V1900" s="454"/>
      <c r="W1900" s="454"/>
      <c r="X1900" s="454"/>
      <c r="Y1900" s="454"/>
      <c r="Z1900" s="454"/>
      <c r="AA1900" s="454"/>
      <c r="AB1900" s="454"/>
      <c r="AC1900" s="454"/>
      <c r="AD1900" s="454"/>
      <c r="AE1900" s="454"/>
      <c r="AF1900" s="454"/>
      <c r="AG1900" s="454"/>
      <c r="AH1900" s="454"/>
      <c r="AI1900" s="454"/>
      <c r="AJ1900" s="769"/>
    </row>
    <row r="1901" spans="1:36" ht="15.5" customHeight="1">
      <c r="A1901" s="40"/>
      <c r="B1901" s="40"/>
      <c r="C1901" s="124">
        <v>1</v>
      </c>
      <c r="D1901" s="124"/>
      <c r="E1901" s="124"/>
      <c r="F1901" s="41"/>
      <c r="G1901" s="41"/>
      <c r="H1901" s="163" t="s">
        <v>35</v>
      </c>
      <c r="I1901" s="66"/>
      <c r="J1901" s="452"/>
      <c r="K1901" s="453"/>
      <c r="L1901" s="454"/>
      <c r="M1901" s="454"/>
      <c r="N1901" s="454"/>
      <c r="O1901" s="454"/>
      <c r="P1901" s="454"/>
      <c r="Q1901" s="454"/>
      <c r="R1901" s="454"/>
      <c r="S1901" s="454"/>
      <c r="T1901" s="454"/>
      <c r="U1901" s="454"/>
      <c r="V1901" s="454"/>
      <c r="W1901" s="454"/>
      <c r="X1901" s="454"/>
      <c r="Y1901" s="454"/>
      <c r="Z1901" s="454"/>
      <c r="AA1901" s="454"/>
      <c r="AB1901" s="454"/>
      <c r="AC1901" s="454"/>
      <c r="AD1901" s="454"/>
      <c r="AE1901" s="454"/>
      <c r="AF1901" s="454"/>
      <c r="AG1901" s="454"/>
      <c r="AH1901" s="454"/>
      <c r="AI1901" s="454"/>
      <c r="AJ1901" s="769"/>
    </row>
    <row r="1902" spans="1:36" ht="15.5" customHeight="1">
      <c r="A1902" s="40"/>
      <c r="B1902" s="40"/>
      <c r="C1902" s="124"/>
      <c r="D1902" s="124">
        <v>3</v>
      </c>
      <c r="E1902" s="124" t="s">
        <v>199</v>
      </c>
      <c r="F1902" s="41"/>
      <c r="G1902" s="41"/>
      <c r="H1902" s="162"/>
      <c r="I1902" s="125" t="s">
        <v>116</v>
      </c>
      <c r="J1902" s="452"/>
      <c r="K1902" s="453"/>
      <c r="L1902" s="454"/>
      <c r="M1902" s="454">
        <v>3810000</v>
      </c>
      <c r="N1902" s="454"/>
      <c r="O1902" s="454"/>
      <c r="P1902" s="454">
        <v>584200</v>
      </c>
      <c r="Q1902" s="454"/>
      <c r="R1902" s="454"/>
      <c r="S1902" s="217">
        <f t="shared" ref="S1902:S1904" si="2224">SUM(M1902:R1902)</f>
        <v>4394200</v>
      </c>
      <c r="T1902" s="217">
        <f t="shared" ref="T1902:T1904" si="2225">S1902+L1902</f>
        <v>4394200</v>
      </c>
      <c r="U1902" s="454"/>
      <c r="V1902" s="454"/>
      <c r="W1902" s="454"/>
      <c r="X1902" s="454"/>
      <c r="Y1902" s="454"/>
      <c r="Z1902" s="217">
        <f>SUM(U1902:Y1902)</f>
        <v>0</v>
      </c>
      <c r="AA1902" s="217">
        <f>Z1902+T1902</f>
        <v>4394200</v>
      </c>
      <c r="AB1902" s="454"/>
      <c r="AC1902" s="454"/>
      <c r="AD1902" s="454"/>
      <c r="AE1902" s="454"/>
      <c r="AF1902" s="454"/>
      <c r="AG1902" s="217">
        <f t="shared" ref="AG1902" si="2226">SUM(AB1902:AF1902)</f>
        <v>0</v>
      </c>
      <c r="AH1902" s="217">
        <f t="shared" ref="AH1902" si="2227">AG1902+AA1902</f>
        <v>4394200</v>
      </c>
      <c r="AI1902" s="217">
        <v>584200</v>
      </c>
      <c r="AJ1902" s="764">
        <f t="shared" ref="AJ1902" si="2228">AI1902/AH1902*100</f>
        <v>13.294797687861271</v>
      </c>
    </row>
    <row r="1903" spans="1:36" ht="15.5" customHeight="1">
      <c r="A1903" s="40"/>
      <c r="B1903" s="40"/>
      <c r="C1903" s="124">
        <v>2</v>
      </c>
      <c r="D1903" s="124"/>
      <c r="E1903" s="124"/>
      <c r="F1903" s="41"/>
      <c r="G1903" s="41"/>
      <c r="H1903" s="162" t="s">
        <v>211</v>
      </c>
      <c r="I1903" s="125"/>
      <c r="J1903" s="524"/>
      <c r="K1903" s="525"/>
      <c r="L1903" s="526"/>
      <c r="M1903" s="526"/>
      <c r="N1903" s="526"/>
      <c r="O1903" s="526"/>
      <c r="P1903" s="526"/>
      <c r="Q1903" s="526"/>
      <c r="R1903" s="526"/>
      <c r="S1903" s="217"/>
      <c r="T1903" s="217"/>
      <c r="U1903" s="526"/>
      <c r="V1903" s="526"/>
      <c r="W1903" s="526"/>
      <c r="X1903" s="526"/>
      <c r="Y1903" s="526"/>
      <c r="Z1903" s="217"/>
      <c r="AA1903" s="217"/>
      <c r="AB1903" s="526"/>
      <c r="AC1903" s="526"/>
      <c r="AD1903" s="526"/>
      <c r="AE1903" s="526"/>
      <c r="AF1903" s="526"/>
      <c r="AG1903" s="217"/>
      <c r="AH1903" s="217"/>
      <c r="AI1903" s="217"/>
      <c r="AJ1903" s="764"/>
    </row>
    <row r="1904" spans="1:36" ht="15.5" customHeight="1">
      <c r="A1904" s="40"/>
      <c r="B1904" s="40"/>
      <c r="C1904" s="124"/>
      <c r="D1904" s="124">
        <v>6</v>
      </c>
      <c r="E1904" s="124" t="s">
        <v>199</v>
      </c>
      <c r="F1904" s="41"/>
      <c r="G1904" s="41"/>
      <c r="H1904" s="163"/>
      <c r="I1904" s="125" t="s">
        <v>213</v>
      </c>
      <c r="J1904" s="524"/>
      <c r="K1904" s="525">
        <v>45986859</v>
      </c>
      <c r="L1904" s="454"/>
      <c r="M1904" s="454">
        <v>15316000</v>
      </c>
      <c r="N1904" s="454"/>
      <c r="O1904" s="454"/>
      <c r="P1904" s="454">
        <v>-584200</v>
      </c>
      <c r="Q1904" s="454"/>
      <c r="R1904" s="454"/>
      <c r="S1904" s="217">
        <f t="shared" si="2224"/>
        <v>14731800</v>
      </c>
      <c r="T1904" s="217">
        <f t="shared" si="2225"/>
        <v>14731800</v>
      </c>
      <c r="U1904" s="454"/>
      <c r="V1904" s="454"/>
      <c r="W1904" s="454"/>
      <c r="X1904" s="454"/>
      <c r="Y1904" s="454"/>
      <c r="Z1904" s="217">
        <f>SUM(U1904:Y1904)</f>
        <v>0</v>
      </c>
      <c r="AA1904" s="217">
        <f>Z1904+T1904</f>
        <v>14731800</v>
      </c>
      <c r="AB1904" s="454"/>
      <c r="AC1904" s="454"/>
      <c r="AD1904" s="454"/>
      <c r="AE1904" s="454"/>
      <c r="AF1904" s="454"/>
      <c r="AG1904" s="217">
        <f t="shared" ref="AG1904" si="2229">SUM(AB1904:AF1904)</f>
        <v>0</v>
      </c>
      <c r="AH1904" s="217">
        <f t="shared" ref="AH1904" si="2230">AG1904+AA1904</f>
        <v>14731800</v>
      </c>
      <c r="AI1904" s="217"/>
      <c r="AJ1904" s="764"/>
    </row>
    <row r="1905" spans="1:36" ht="14">
      <c r="A1905" s="40"/>
      <c r="B1905" s="40"/>
      <c r="C1905" s="124"/>
      <c r="D1905" s="124"/>
      <c r="E1905" s="124"/>
      <c r="F1905" s="41"/>
      <c r="G1905" s="41"/>
      <c r="H1905" s="163"/>
      <c r="I1905" s="125"/>
      <c r="J1905" s="524"/>
      <c r="K1905" s="525"/>
      <c r="L1905" s="526"/>
      <c r="M1905" s="526"/>
      <c r="N1905" s="526"/>
      <c r="O1905" s="526"/>
      <c r="P1905" s="526"/>
      <c r="Q1905" s="526"/>
      <c r="R1905" s="526"/>
      <c r="S1905" s="526"/>
      <c r="T1905" s="526"/>
      <c r="U1905" s="526"/>
      <c r="V1905" s="526"/>
      <c r="W1905" s="526"/>
      <c r="X1905" s="526"/>
      <c r="Y1905" s="526"/>
      <c r="Z1905" s="526"/>
      <c r="AA1905" s="526"/>
      <c r="AB1905" s="526"/>
      <c r="AC1905" s="526"/>
      <c r="AD1905" s="526"/>
      <c r="AE1905" s="526"/>
      <c r="AF1905" s="526"/>
      <c r="AG1905" s="526"/>
      <c r="AH1905" s="526"/>
      <c r="AI1905" s="526"/>
      <c r="AJ1905" s="779"/>
    </row>
    <row r="1906" spans="1:36" ht="14">
      <c r="A1906" s="40"/>
      <c r="B1906" s="40"/>
      <c r="C1906" s="124"/>
      <c r="D1906" s="124"/>
      <c r="E1906" s="124"/>
      <c r="F1906" s="42"/>
      <c r="G1906" s="42"/>
      <c r="H1906" s="165"/>
      <c r="I1906" s="166" t="s">
        <v>37</v>
      </c>
      <c r="J1906" s="528"/>
      <c r="K1906" s="529">
        <f>SUM(K1898:K1905)</f>
        <v>63366859</v>
      </c>
      <c r="L1906" s="530">
        <f>SUM(L1898:L1905)</f>
        <v>0</v>
      </c>
      <c r="M1906" s="530">
        <f t="shared" ref="M1906:O1906" si="2231">SUM(M1898:M1905)</f>
        <v>19126000</v>
      </c>
      <c r="N1906" s="530">
        <f t="shared" si="2231"/>
        <v>0</v>
      </c>
      <c r="O1906" s="530">
        <f t="shared" si="2231"/>
        <v>0</v>
      </c>
      <c r="P1906" s="530">
        <f>SUM(P1899:P1905)</f>
        <v>0</v>
      </c>
      <c r="Q1906" s="530">
        <f t="shared" ref="Q1906:T1906" si="2232">SUM(Q1899:Q1905)</f>
        <v>0</v>
      </c>
      <c r="R1906" s="530">
        <f t="shared" si="2232"/>
        <v>0</v>
      </c>
      <c r="S1906" s="530">
        <f t="shared" si="2232"/>
        <v>19126000</v>
      </c>
      <c r="T1906" s="530">
        <f t="shared" si="2232"/>
        <v>19126000</v>
      </c>
      <c r="U1906" s="530"/>
      <c r="V1906" s="530"/>
      <c r="W1906" s="530"/>
      <c r="X1906" s="530"/>
      <c r="Y1906" s="530"/>
      <c r="Z1906" s="530">
        <f t="shared" ref="Z1906:AA1906" si="2233">SUM(Z1899:Z1905)</f>
        <v>0</v>
      </c>
      <c r="AA1906" s="530">
        <f t="shared" si="2233"/>
        <v>19126000</v>
      </c>
      <c r="AB1906" s="530"/>
      <c r="AC1906" s="530"/>
      <c r="AD1906" s="530"/>
      <c r="AE1906" s="530"/>
      <c r="AF1906" s="530"/>
      <c r="AG1906" s="530">
        <f t="shared" ref="AG1906:AI1906" si="2234">SUM(AG1899:AG1905)</f>
        <v>0</v>
      </c>
      <c r="AH1906" s="530">
        <f t="shared" si="2234"/>
        <v>19126000</v>
      </c>
      <c r="AI1906" s="530">
        <f t="shared" si="2234"/>
        <v>584200</v>
      </c>
      <c r="AJ1906" s="776">
        <f>AI1906/AH1906*100</f>
        <v>3.0544808114608384</v>
      </c>
    </row>
    <row r="1907" spans="1:36" ht="14">
      <c r="A1907" s="40"/>
      <c r="B1907" s="40"/>
      <c r="C1907" s="124"/>
      <c r="D1907" s="124"/>
      <c r="E1907" s="124"/>
      <c r="F1907" s="41"/>
      <c r="G1907" s="41"/>
      <c r="H1907" s="63"/>
      <c r="I1907" s="41"/>
      <c r="J1907" s="680"/>
      <c r="K1907" s="679"/>
      <c r="L1907" s="678"/>
      <c r="M1907" s="678"/>
      <c r="N1907" s="678"/>
      <c r="O1907" s="678"/>
      <c r="P1907" s="678"/>
      <c r="Q1907" s="678"/>
      <c r="R1907" s="678"/>
      <c r="S1907" s="678"/>
      <c r="T1907" s="678"/>
      <c r="U1907" s="678"/>
      <c r="V1907" s="678"/>
      <c r="W1907" s="678"/>
      <c r="X1907" s="678"/>
      <c r="Y1907" s="678"/>
      <c r="Z1907" s="678"/>
      <c r="AA1907" s="678"/>
      <c r="AB1907" s="702"/>
      <c r="AC1907" s="702"/>
      <c r="AD1907" s="702"/>
      <c r="AE1907" s="702"/>
      <c r="AF1907" s="702"/>
      <c r="AG1907" s="702"/>
      <c r="AH1907" s="702"/>
      <c r="AI1907" s="702"/>
      <c r="AJ1907" s="780"/>
    </row>
    <row r="1908" spans="1:36" ht="14">
      <c r="A1908" s="40">
        <v>226</v>
      </c>
      <c r="B1908" s="40"/>
      <c r="C1908" s="124"/>
      <c r="D1908" s="124"/>
      <c r="E1908" s="124"/>
      <c r="F1908" s="942" t="s">
        <v>567</v>
      </c>
      <c r="G1908" s="935"/>
      <c r="H1908" s="935"/>
      <c r="I1908" s="936"/>
      <c r="J1908" s="452"/>
      <c r="K1908" s="453"/>
      <c r="L1908" s="454"/>
      <c r="M1908" s="454"/>
      <c r="N1908" s="454"/>
      <c r="O1908" s="454"/>
      <c r="P1908" s="454"/>
      <c r="Q1908" s="454"/>
      <c r="R1908" s="454"/>
      <c r="S1908" s="454"/>
      <c r="T1908" s="454"/>
      <c r="U1908" s="454"/>
      <c r="V1908" s="454"/>
      <c r="W1908" s="454"/>
      <c r="X1908" s="454"/>
      <c r="Y1908" s="454"/>
      <c r="Z1908" s="454"/>
      <c r="AA1908" s="454"/>
      <c r="AB1908" s="454"/>
      <c r="AC1908" s="454"/>
      <c r="AD1908" s="454"/>
      <c r="AE1908" s="454"/>
      <c r="AF1908" s="454"/>
      <c r="AG1908" s="454"/>
      <c r="AH1908" s="454"/>
      <c r="AI1908" s="454"/>
      <c r="AJ1908" s="769"/>
    </row>
    <row r="1909" spans="1:36" ht="14">
      <c r="A1909" s="40"/>
      <c r="B1909" s="40"/>
      <c r="C1909" s="124">
        <v>2</v>
      </c>
      <c r="D1909" s="124"/>
      <c r="E1909" s="124"/>
      <c r="F1909" s="41"/>
      <c r="G1909" s="41"/>
      <c r="H1909" s="162" t="s">
        <v>211</v>
      </c>
      <c r="I1909" s="125"/>
      <c r="J1909" s="524"/>
      <c r="K1909" s="525"/>
      <c r="L1909" s="526"/>
      <c r="M1909" s="526"/>
      <c r="N1909" s="526"/>
      <c r="O1909" s="526"/>
      <c r="P1909" s="526"/>
      <c r="Q1909" s="526"/>
      <c r="R1909" s="526"/>
      <c r="S1909" s="526"/>
      <c r="T1909" s="526"/>
      <c r="U1909" s="526"/>
      <c r="V1909" s="526"/>
      <c r="W1909" s="526"/>
      <c r="X1909" s="526"/>
      <c r="Y1909" s="526"/>
      <c r="Z1909" s="526"/>
      <c r="AA1909" s="526"/>
      <c r="AB1909" s="526"/>
      <c r="AC1909" s="526"/>
      <c r="AD1909" s="526"/>
      <c r="AE1909" s="526"/>
      <c r="AF1909" s="526"/>
      <c r="AG1909" s="526"/>
      <c r="AH1909" s="526"/>
      <c r="AI1909" s="526"/>
      <c r="AJ1909" s="779"/>
    </row>
    <row r="1910" spans="1:36" ht="14">
      <c r="A1910" s="40"/>
      <c r="B1910" s="40"/>
      <c r="C1910" s="124"/>
      <c r="D1910" s="124">
        <v>6</v>
      </c>
      <c r="E1910" s="124" t="s">
        <v>199</v>
      </c>
      <c r="F1910" s="41"/>
      <c r="G1910" s="41"/>
      <c r="H1910" s="163"/>
      <c r="I1910" s="125" t="s">
        <v>213</v>
      </c>
      <c r="J1910" s="524"/>
      <c r="K1910" s="525">
        <v>17380000</v>
      </c>
      <c r="L1910" s="454"/>
      <c r="M1910" s="454">
        <v>2182614</v>
      </c>
      <c r="N1910" s="454"/>
      <c r="O1910" s="454"/>
      <c r="P1910" s="454"/>
      <c r="Q1910" s="454"/>
      <c r="R1910" s="454"/>
      <c r="S1910" s="217">
        <f t="shared" ref="S1910" si="2235">SUM(M1910:R1910)</f>
        <v>2182614</v>
      </c>
      <c r="T1910" s="217">
        <f t="shared" ref="T1910" si="2236">S1910+L1910</f>
        <v>2182614</v>
      </c>
      <c r="U1910" s="454"/>
      <c r="V1910" s="454"/>
      <c r="W1910" s="454"/>
      <c r="X1910" s="454">
        <v>2391700</v>
      </c>
      <c r="Y1910" s="454"/>
      <c r="Z1910" s="217">
        <f>SUM(U1910:Y1910)</f>
        <v>2391700</v>
      </c>
      <c r="AA1910" s="217">
        <f>Z1910+T1910</f>
        <v>4574314</v>
      </c>
      <c r="AB1910" s="454"/>
      <c r="AC1910" s="454"/>
      <c r="AD1910" s="454"/>
      <c r="AE1910" s="454">
        <v>476264</v>
      </c>
      <c r="AF1910" s="454"/>
      <c r="AG1910" s="217">
        <f t="shared" ref="AG1910" si="2237">SUM(AB1910:AF1910)</f>
        <v>476264</v>
      </c>
      <c r="AH1910" s="217">
        <f t="shared" ref="AH1910" si="2238">AG1910+AA1910</f>
        <v>5050578</v>
      </c>
      <c r="AI1910" s="217">
        <v>5050577</v>
      </c>
      <c r="AJ1910" s="764">
        <f t="shared" ref="AJ1910" si="2239">AI1910/AH1910*100</f>
        <v>99.999980200285989</v>
      </c>
    </row>
    <row r="1911" spans="1:36" ht="14">
      <c r="A1911" s="40"/>
      <c r="B1911" s="40"/>
      <c r="C1911" s="124"/>
      <c r="D1911" s="124"/>
      <c r="E1911" s="124"/>
      <c r="F1911" s="41"/>
      <c r="G1911" s="41"/>
      <c r="H1911" s="163"/>
      <c r="I1911" s="125"/>
      <c r="J1911" s="524"/>
      <c r="K1911" s="525"/>
      <c r="L1911" s="526"/>
      <c r="M1911" s="526"/>
      <c r="N1911" s="526"/>
      <c r="O1911" s="526"/>
      <c r="P1911" s="526"/>
      <c r="Q1911" s="526"/>
      <c r="R1911" s="526"/>
      <c r="S1911" s="526"/>
      <c r="T1911" s="526"/>
      <c r="U1911" s="526"/>
      <c r="V1911" s="526"/>
      <c r="W1911" s="526"/>
      <c r="X1911" s="526"/>
      <c r="Y1911" s="526"/>
      <c r="Z1911" s="526"/>
      <c r="AA1911" s="526"/>
      <c r="AB1911" s="526"/>
      <c r="AC1911" s="526"/>
      <c r="AD1911" s="526"/>
      <c r="AE1911" s="526"/>
      <c r="AF1911" s="526"/>
      <c r="AG1911" s="526"/>
      <c r="AH1911" s="526"/>
      <c r="AI1911" s="526"/>
      <c r="AJ1911" s="779"/>
    </row>
    <row r="1912" spans="1:36" ht="14">
      <c r="A1912" s="40"/>
      <c r="B1912" s="40"/>
      <c r="C1912" s="124"/>
      <c r="D1912" s="124"/>
      <c r="E1912" s="124"/>
      <c r="F1912" s="42"/>
      <c r="G1912" s="42"/>
      <c r="H1912" s="165"/>
      <c r="I1912" s="166" t="s">
        <v>37</v>
      </c>
      <c r="J1912" s="528"/>
      <c r="K1912" s="529">
        <f>SUM(K1907:K1911)</f>
        <v>17380000</v>
      </c>
      <c r="L1912" s="530">
        <f>SUM(L1907:L1911)</f>
        <v>0</v>
      </c>
      <c r="M1912" s="530">
        <f t="shared" ref="M1912:T1912" si="2240">SUM(M1907:M1911)</f>
        <v>2182614</v>
      </c>
      <c r="N1912" s="530">
        <f t="shared" si="2240"/>
        <v>0</v>
      </c>
      <c r="O1912" s="530">
        <f t="shared" si="2240"/>
        <v>0</v>
      </c>
      <c r="P1912" s="530">
        <f t="shared" si="2240"/>
        <v>0</v>
      </c>
      <c r="Q1912" s="530">
        <f t="shared" si="2240"/>
        <v>0</v>
      </c>
      <c r="R1912" s="530">
        <f t="shared" si="2240"/>
        <v>0</v>
      </c>
      <c r="S1912" s="530">
        <f t="shared" si="2240"/>
        <v>2182614</v>
      </c>
      <c r="T1912" s="530">
        <f t="shared" si="2240"/>
        <v>2182614</v>
      </c>
      <c r="U1912" s="530"/>
      <c r="V1912" s="530"/>
      <c r="W1912" s="530"/>
      <c r="X1912" s="530">
        <f t="shared" ref="X1912:AA1912" si="2241">SUM(X1907:X1911)</f>
        <v>2391700</v>
      </c>
      <c r="Y1912" s="530"/>
      <c r="Z1912" s="530">
        <f t="shared" si="2241"/>
        <v>2391700</v>
      </c>
      <c r="AA1912" s="530">
        <f t="shared" si="2241"/>
        <v>4574314</v>
      </c>
      <c r="AB1912" s="530"/>
      <c r="AC1912" s="530"/>
      <c r="AD1912" s="530"/>
      <c r="AE1912" s="530">
        <f t="shared" ref="AE1912" si="2242">SUM(AE1907:AE1911)</f>
        <v>476264</v>
      </c>
      <c r="AF1912" s="530"/>
      <c r="AG1912" s="530">
        <f t="shared" ref="AG1912:AI1912" si="2243">SUM(AG1907:AG1911)</f>
        <v>476264</v>
      </c>
      <c r="AH1912" s="530">
        <f t="shared" si="2243"/>
        <v>5050578</v>
      </c>
      <c r="AI1912" s="530">
        <f t="shared" si="2243"/>
        <v>5050577</v>
      </c>
      <c r="AJ1912" s="776">
        <f>AI1912/AH1912*100</f>
        <v>99.999980200285989</v>
      </c>
    </row>
    <row r="1913" spans="1:36" ht="14">
      <c r="A1913" s="40"/>
      <c r="B1913" s="40"/>
      <c r="C1913" s="124"/>
      <c r="D1913" s="124"/>
      <c r="E1913" s="124"/>
      <c r="F1913" s="41"/>
      <c r="G1913" s="41"/>
      <c r="H1913" s="63"/>
      <c r="I1913" s="41"/>
      <c r="J1913" s="680"/>
      <c r="K1913" s="679"/>
      <c r="L1913" s="678"/>
      <c r="M1913" s="678"/>
      <c r="N1913" s="678"/>
      <c r="O1913" s="678"/>
      <c r="P1913" s="678"/>
      <c r="Q1913" s="678"/>
      <c r="R1913" s="678"/>
      <c r="S1913" s="678"/>
      <c r="T1913" s="678"/>
      <c r="U1913" s="678"/>
      <c r="V1913" s="678"/>
      <c r="W1913" s="678"/>
      <c r="X1913" s="678"/>
      <c r="Y1913" s="678"/>
      <c r="Z1913" s="678"/>
      <c r="AA1913" s="678"/>
      <c r="AB1913" s="702"/>
      <c r="AC1913" s="702"/>
      <c r="AD1913" s="702"/>
      <c r="AE1913" s="702"/>
      <c r="AF1913" s="702"/>
      <c r="AG1913" s="702"/>
      <c r="AH1913" s="702"/>
      <c r="AI1913" s="702"/>
      <c r="AJ1913" s="780"/>
    </row>
    <row r="1914" spans="1:36" ht="14">
      <c r="A1914" s="40">
        <v>227</v>
      </c>
      <c r="B1914" s="40"/>
      <c r="C1914" s="124"/>
      <c r="D1914" s="124"/>
      <c r="E1914" s="124"/>
      <c r="F1914" s="942" t="s">
        <v>568</v>
      </c>
      <c r="G1914" s="935"/>
      <c r="H1914" s="935"/>
      <c r="I1914" s="936"/>
      <c r="J1914" s="452"/>
      <c r="K1914" s="453"/>
      <c r="L1914" s="454"/>
      <c r="M1914" s="454"/>
      <c r="N1914" s="454"/>
      <c r="O1914" s="454"/>
      <c r="P1914" s="454"/>
      <c r="Q1914" s="454"/>
      <c r="R1914" s="454"/>
      <c r="S1914" s="454"/>
      <c r="T1914" s="454"/>
      <c r="U1914" s="454"/>
      <c r="V1914" s="454"/>
      <c r="W1914" s="454"/>
      <c r="X1914" s="454"/>
      <c r="Y1914" s="454"/>
      <c r="Z1914" s="454"/>
      <c r="AA1914" s="454"/>
      <c r="AB1914" s="454"/>
      <c r="AC1914" s="454"/>
      <c r="AD1914" s="454"/>
      <c r="AE1914" s="454"/>
      <c r="AF1914" s="454"/>
      <c r="AG1914" s="454"/>
      <c r="AH1914" s="454"/>
      <c r="AI1914" s="454"/>
      <c r="AJ1914" s="769"/>
    </row>
    <row r="1915" spans="1:36" ht="14">
      <c r="A1915" s="40"/>
      <c r="B1915" s="40"/>
      <c r="C1915" s="124">
        <v>2</v>
      </c>
      <c r="D1915" s="124"/>
      <c r="E1915" s="124"/>
      <c r="F1915" s="41"/>
      <c r="G1915" s="41"/>
      <c r="H1915" s="162" t="s">
        <v>211</v>
      </c>
      <c r="I1915" s="125"/>
      <c r="J1915" s="524"/>
      <c r="K1915" s="525"/>
      <c r="L1915" s="526"/>
      <c r="M1915" s="526"/>
      <c r="N1915" s="526"/>
      <c r="O1915" s="526"/>
      <c r="P1915" s="526"/>
      <c r="Q1915" s="526"/>
      <c r="R1915" s="526"/>
      <c r="S1915" s="526"/>
      <c r="T1915" s="526"/>
      <c r="U1915" s="526"/>
      <c r="V1915" s="526"/>
      <c r="W1915" s="526"/>
      <c r="X1915" s="526"/>
      <c r="Y1915" s="526"/>
      <c r="Z1915" s="526"/>
      <c r="AA1915" s="526"/>
      <c r="AB1915" s="526"/>
      <c r="AC1915" s="526"/>
      <c r="AD1915" s="526"/>
      <c r="AE1915" s="526"/>
      <c r="AF1915" s="526"/>
      <c r="AG1915" s="526"/>
      <c r="AH1915" s="526"/>
      <c r="AI1915" s="526"/>
      <c r="AJ1915" s="779"/>
    </row>
    <row r="1916" spans="1:36" ht="14">
      <c r="A1916" s="40"/>
      <c r="B1916" s="40"/>
      <c r="C1916" s="124"/>
      <c r="D1916" s="124">
        <v>6</v>
      </c>
      <c r="E1916" s="124" t="s">
        <v>199</v>
      </c>
      <c r="F1916" s="41"/>
      <c r="G1916" s="41"/>
      <c r="H1916" s="163"/>
      <c r="I1916" s="125" t="s">
        <v>213</v>
      </c>
      <c r="J1916" s="524"/>
      <c r="K1916" s="525">
        <v>17380000</v>
      </c>
      <c r="L1916" s="454"/>
      <c r="M1916" s="454">
        <v>8188763</v>
      </c>
      <c r="N1916" s="454"/>
      <c r="O1916" s="454"/>
      <c r="P1916" s="454"/>
      <c r="Q1916" s="454"/>
      <c r="R1916" s="454"/>
      <c r="S1916" s="217">
        <f t="shared" ref="S1916" si="2244">SUM(M1916:R1916)</f>
        <v>8188763</v>
      </c>
      <c r="T1916" s="217">
        <f t="shared" ref="T1916" si="2245">S1916+L1916</f>
        <v>8188763</v>
      </c>
      <c r="U1916" s="454"/>
      <c r="V1916" s="454"/>
      <c r="W1916" s="454"/>
      <c r="X1916" s="454"/>
      <c r="Y1916" s="454"/>
      <c r="Z1916" s="217">
        <f>SUM(U1916:Y1916)</f>
        <v>0</v>
      </c>
      <c r="AA1916" s="217">
        <f>Z1916+T1916</f>
        <v>8188763</v>
      </c>
      <c r="AB1916" s="454"/>
      <c r="AC1916" s="454"/>
      <c r="AD1916" s="454"/>
      <c r="AE1916" s="454"/>
      <c r="AF1916" s="454"/>
      <c r="AG1916" s="217">
        <f t="shared" ref="AG1916" si="2246">SUM(AB1916:AF1916)</f>
        <v>0</v>
      </c>
      <c r="AH1916" s="217">
        <f t="shared" ref="AH1916" si="2247">AG1916+AA1916</f>
        <v>8188763</v>
      </c>
      <c r="AI1916" s="217">
        <v>818877</v>
      </c>
      <c r="AJ1916" s="764">
        <f t="shared" ref="AJ1916" si="2248">AI1916/AH1916*100</f>
        <v>10.000008548299665</v>
      </c>
    </row>
    <row r="1917" spans="1:36" ht="14">
      <c r="A1917" s="40"/>
      <c r="B1917" s="40"/>
      <c r="C1917" s="124"/>
      <c r="D1917" s="124"/>
      <c r="E1917" s="124"/>
      <c r="F1917" s="41"/>
      <c r="G1917" s="41"/>
      <c r="H1917" s="163"/>
      <c r="I1917" s="125"/>
      <c r="J1917" s="524"/>
      <c r="K1917" s="525"/>
      <c r="L1917" s="526"/>
      <c r="M1917" s="526"/>
      <c r="N1917" s="526"/>
      <c r="O1917" s="526"/>
      <c r="P1917" s="526"/>
      <c r="Q1917" s="526"/>
      <c r="R1917" s="526"/>
      <c r="S1917" s="526"/>
      <c r="T1917" s="526"/>
      <c r="U1917" s="526"/>
      <c r="V1917" s="526"/>
      <c r="W1917" s="526"/>
      <c r="X1917" s="526"/>
      <c r="Y1917" s="526"/>
      <c r="Z1917" s="526"/>
      <c r="AA1917" s="526"/>
      <c r="AB1917" s="526"/>
      <c r="AC1917" s="526"/>
      <c r="AD1917" s="526"/>
      <c r="AE1917" s="526"/>
      <c r="AF1917" s="526"/>
      <c r="AG1917" s="526"/>
      <c r="AH1917" s="526"/>
      <c r="AI1917" s="526"/>
      <c r="AJ1917" s="779"/>
    </row>
    <row r="1918" spans="1:36" ht="14">
      <c r="A1918" s="40"/>
      <c r="B1918" s="40"/>
      <c r="C1918" s="124"/>
      <c r="D1918" s="124"/>
      <c r="E1918" s="124"/>
      <c r="F1918" s="42"/>
      <c r="G1918" s="42"/>
      <c r="H1918" s="165"/>
      <c r="I1918" s="166" t="s">
        <v>37</v>
      </c>
      <c r="J1918" s="528"/>
      <c r="K1918" s="529">
        <f>SUM(K1913:K1917)</f>
        <v>17380000</v>
      </c>
      <c r="L1918" s="530">
        <f>SUM(L1913:L1917)</f>
        <v>0</v>
      </c>
      <c r="M1918" s="530">
        <f t="shared" ref="M1918:T1918" si="2249">SUM(M1913:M1917)</f>
        <v>8188763</v>
      </c>
      <c r="N1918" s="530">
        <f t="shared" si="2249"/>
        <v>0</v>
      </c>
      <c r="O1918" s="530">
        <f t="shared" si="2249"/>
        <v>0</v>
      </c>
      <c r="P1918" s="530">
        <f t="shared" si="2249"/>
        <v>0</v>
      </c>
      <c r="Q1918" s="530">
        <f t="shared" si="2249"/>
        <v>0</v>
      </c>
      <c r="R1918" s="530">
        <f t="shared" si="2249"/>
        <v>0</v>
      </c>
      <c r="S1918" s="530">
        <f t="shared" si="2249"/>
        <v>8188763</v>
      </c>
      <c r="T1918" s="530">
        <f t="shared" si="2249"/>
        <v>8188763</v>
      </c>
      <c r="U1918" s="530"/>
      <c r="V1918" s="530"/>
      <c r="W1918" s="530"/>
      <c r="X1918" s="530"/>
      <c r="Y1918" s="530"/>
      <c r="Z1918" s="530">
        <f t="shared" ref="Z1918:AA1918" si="2250">SUM(Z1913:Z1917)</f>
        <v>0</v>
      </c>
      <c r="AA1918" s="530">
        <f t="shared" si="2250"/>
        <v>8188763</v>
      </c>
      <c r="AB1918" s="530"/>
      <c r="AC1918" s="530"/>
      <c r="AD1918" s="530"/>
      <c r="AE1918" s="530"/>
      <c r="AF1918" s="530"/>
      <c r="AG1918" s="530">
        <f t="shared" ref="AG1918:AI1918" si="2251">SUM(AG1913:AG1917)</f>
        <v>0</v>
      </c>
      <c r="AH1918" s="530">
        <f t="shared" si="2251"/>
        <v>8188763</v>
      </c>
      <c r="AI1918" s="530">
        <f t="shared" si="2251"/>
        <v>818877</v>
      </c>
      <c r="AJ1918" s="776">
        <f>AI1918/AH1918*100</f>
        <v>10.000008548299665</v>
      </c>
    </row>
    <row r="1919" spans="1:36" ht="14">
      <c r="A1919" s="40"/>
      <c r="B1919" s="40"/>
      <c r="C1919" s="124"/>
      <c r="D1919" s="124"/>
      <c r="E1919" s="124"/>
      <c r="F1919" s="41"/>
      <c r="G1919" s="41"/>
      <c r="H1919" s="63"/>
      <c r="I1919" s="41"/>
      <c r="J1919" s="680"/>
      <c r="K1919" s="679"/>
      <c r="L1919" s="678"/>
      <c r="M1919" s="678"/>
      <c r="N1919" s="678"/>
      <c r="O1919" s="678"/>
      <c r="P1919" s="678"/>
      <c r="Q1919" s="678"/>
      <c r="R1919" s="678"/>
      <c r="S1919" s="678"/>
      <c r="T1919" s="678"/>
      <c r="U1919" s="678"/>
      <c r="V1919" s="678"/>
      <c r="W1919" s="678"/>
      <c r="X1919" s="678"/>
      <c r="Y1919" s="678"/>
      <c r="Z1919" s="678"/>
      <c r="AA1919" s="678"/>
      <c r="AB1919" s="702"/>
      <c r="AC1919" s="702"/>
      <c r="AD1919" s="702"/>
      <c r="AE1919" s="702"/>
      <c r="AF1919" s="702"/>
      <c r="AG1919" s="702"/>
      <c r="AH1919" s="702"/>
      <c r="AI1919" s="702"/>
      <c r="AJ1919" s="780"/>
    </row>
    <row r="1920" spans="1:36" ht="16.5" customHeight="1">
      <c r="A1920" s="40">
        <v>228</v>
      </c>
      <c r="B1920" s="40"/>
      <c r="C1920" s="124"/>
      <c r="D1920" s="124"/>
      <c r="E1920" s="124"/>
      <c r="F1920" s="942" t="s">
        <v>569</v>
      </c>
      <c r="G1920" s="935"/>
      <c r="H1920" s="935"/>
      <c r="I1920" s="936"/>
      <c r="J1920" s="452"/>
      <c r="K1920" s="453"/>
      <c r="L1920" s="454"/>
      <c r="M1920" s="454"/>
      <c r="N1920" s="454"/>
      <c r="O1920" s="454"/>
      <c r="P1920" s="454"/>
      <c r="Q1920" s="454"/>
      <c r="R1920" s="454"/>
      <c r="S1920" s="454"/>
      <c r="T1920" s="454"/>
      <c r="U1920" s="454"/>
      <c r="V1920" s="454"/>
      <c r="W1920" s="454"/>
      <c r="X1920" s="454"/>
      <c r="Y1920" s="454"/>
      <c r="Z1920" s="454"/>
      <c r="AA1920" s="454"/>
      <c r="AB1920" s="454"/>
      <c r="AC1920" s="454"/>
      <c r="AD1920" s="454"/>
      <c r="AE1920" s="454"/>
      <c r="AF1920" s="454"/>
      <c r="AG1920" s="454"/>
      <c r="AH1920" s="454"/>
      <c r="AI1920" s="454"/>
      <c r="AJ1920" s="769"/>
    </row>
    <row r="1921" spans="1:36" ht="16.5" customHeight="1">
      <c r="A1921" s="40"/>
      <c r="B1921" s="40"/>
      <c r="C1921" s="124">
        <v>2</v>
      </c>
      <c r="D1921" s="124"/>
      <c r="E1921" s="124"/>
      <c r="F1921" s="41"/>
      <c r="G1921" s="41"/>
      <c r="H1921" s="162" t="s">
        <v>211</v>
      </c>
      <c r="I1921" s="125"/>
      <c r="J1921" s="524"/>
      <c r="K1921" s="525"/>
      <c r="L1921" s="526"/>
      <c r="M1921" s="526"/>
      <c r="N1921" s="526"/>
      <c r="O1921" s="526"/>
      <c r="P1921" s="526"/>
      <c r="Q1921" s="526"/>
      <c r="R1921" s="526"/>
      <c r="S1921" s="526"/>
      <c r="T1921" s="526"/>
      <c r="U1921" s="526"/>
      <c r="V1921" s="526"/>
      <c r="W1921" s="526"/>
      <c r="X1921" s="526"/>
      <c r="Y1921" s="526"/>
      <c r="Z1921" s="526"/>
      <c r="AA1921" s="526"/>
      <c r="AB1921" s="526"/>
      <c r="AC1921" s="526"/>
      <c r="AD1921" s="526"/>
      <c r="AE1921" s="526"/>
      <c r="AF1921" s="526"/>
      <c r="AG1921" s="526"/>
      <c r="AH1921" s="526"/>
      <c r="AI1921" s="526"/>
      <c r="AJ1921" s="779"/>
    </row>
    <row r="1922" spans="1:36" ht="16.5" customHeight="1">
      <c r="A1922" s="40"/>
      <c r="B1922" s="40"/>
      <c r="C1922" s="124"/>
      <c r="D1922" s="124">
        <v>6</v>
      </c>
      <c r="E1922" s="124" t="s">
        <v>199</v>
      </c>
      <c r="F1922" s="41"/>
      <c r="G1922" s="41"/>
      <c r="H1922" s="163"/>
      <c r="I1922" s="125" t="s">
        <v>213</v>
      </c>
      <c r="J1922" s="524"/>
      <c r="K1922" s="525">
        <v>17380000</v>
      </c>
      <c r="L1922" s="454"/>
      <c r="M1922" s="454">
        <v>14012960</v>
      </c>
      <c r="N1922" s="454"/>
      <c r="O1922" s="454"/>
      <c r="P1922" s="454"/>
      <c r="Q1922" s="454"/>
      <c r="R1922" s="454"/>
      <c r="S1922" s="217">
        <f t="shared" ref="S1922" si="2252">SUM(M1922:R1922)</f>
        <v>14012960</v>
      </c>
      <c r="T1922" s="217">
        <f t="shared" ref="T1922" si="2253">S1922+L1922</f>
        <v>14012960</v>
      </c>
      <c r="U1922" s="454"/>
      <c r="V1922" s="454"/>
      <c r="W1922" s="454"/>
      <c r="X1922" s="454"/>
      <c r="Y1922" s="454"/>
      <c r="Z1922" s="217">
        <f>SUM(U1922:Y1922)</f>
        <v>0</v>
      </c>
      <c r="AA1922" s="217">
        <f>Z1922+T1922</f>
        <v>14012960</v>
      </c>
      <c r="AB1922" s="454"/>
      <c r="AC1922" s="454"/>
      <c r="AD1922" s="454"/>
      <c r="AE1922" s="454"/>
      <c r="AF1922" s="454"/>
      <c r="AG1922" s="217">
        <f t="shared" ref="AG1922" si="2254">SUM(AB1922:AF1922)</f>
        <v>0</v>
      </c>
      <c r="AH1922" s="217">
        <f t="shared" ref="AH1922" si="2255">AG1922+AA1922</f>
        <v>14012960</v>
      </c>
      <c r="AI1922" s="217">
        <v>14010980</v>
      </c>
      <c r="AJ1922" s="764">
        <f t="shared" ref="AJ1922" si="2256">AI1922/AH1922*100</f>
        <v>99.985870222993569</v>
      </c>
    </row>
    <row r="1923" spans="1:36" ht="6" customHeight="1">
      <c r="A1923" s="40"/>
      <c r="B1923" s="40"/>
      <c r="C1923" s="124"/>
      <c r="D1923" s="124"/>
      <c r="E1923" s="124"/>
      <c r="F1923" s="41"/>
      <c r="G1923" s="41"/>
      <c r="H1923" s="163"/>
      <c r="I1923" s="125"/>
      <c r="J1923" s="524"/>
      <c r="K1923" s="525"/>
      <c r="L1923" s="526"/>
      <c r="M1923" s="526"/>
      <c r="N1923" s="526"/>
      <c r="O1923" s="526"/>
      <c r="P1923" s="526"/>
      <c r="Q1923" s="526"/>
      <c r="R1923" s="526"/>
      <c r="S1923" s="526"/>
      <c r="T1923" s="526"/>
      <c r="U1923" s="526"/>
      <c r="V1923" s="526"/>
      <c r="W1923" s="526"/>
      <c r="X1923" s="526"/>
      <c r="Y1923" s="526"/>
      <c r="Z1923" s="526"/>
      <c r="AA1923" s="526"/>
      <c r="AB1923" s="526"/>
      <c r="AC1923" s="526"/>
      <c r="AD1923" s="526"/>
      <c r="AE1923" s="526"/>
      <c r="AF1923" s="526"/>
      <c r="AG1923" s="526"/>
      <c r="AH1923" s="526"/>
      <c r="AI1923" s="526"/>
      <c r="AJ1923" s="779"/>
    </row>
    <row r="1924" spans="1:36" ht="16.5" customHeight="1">
      <c r="A1924" s="40"/>
      <c r="B1924" s="40"/>
      <c r="C1924" s="124"/>
      <c r="D1924" s="124"/>
      <c r="E1924" s="124"/>
      <c r="F1924" s="42"/>
      <c r="G1924" s="42"/>
      <c r="H1924" s="165"/>
      <c r="I1924" s="166" t="s">
        <v>37</v>
      </c>
      <c r="J1924" s="528"/>
      <c r="K1924" s="529">
        <f>SUM(K1919:K1923)</f>
        <v>17380000</v>
      </c>
      <c r="L1924" s="530">
        <f>SUM(L1919:L1923)</f>
        <v>0</v>
      </c>
      <c r="M1924" s="530">
        <f t="shared" ref="M1924:T1924" si="2257">SUM(M1919:M1923)</f>
        <v>14012960</v>
      </c>
      <c r="N1924" s="530">
        <f t="shared" si="2257"/>
        <v>0</v>
      </c>
      <c r="O1924" s="530">
        <f t="shared" si="2257"/>
        <v>0</v>
      </c>
      <c r="P1924" s="530">
        <f t="shared" si="2257"/>
        <v>0</v>
      </c>
      <c r="Q1924" s="530">
        <f t="shared" si="2257"/>
        <v>0</v>
      </c>
      <c r="R1924" s="530">
        <f t="shared" si="2257"/>
        <v>0</v>
      </c>
      <c r="S1924" s="530">
        <f t="shared" si="2257"/>
        <v>14012960</v>
      </c>
      <c r="T1924" s="530">
        <f t="shared" si="2257"/>
        <v>14012960</v>
      </c>
      <c r="U1924" s="530"/>
      <c r="V1924" s="530"/>
      <c r="W1924" s="530"/>
      <c r="X1924" s="530"/>
      <c r="Y1924" s="530"/>
      <c r="Z1924" s="530">
        <f t="shared" ref="Z1924:AA1924" si="2258">SUM(Z1919:Z1923)</f>
        <v>0</v>
      </c>
      <c r="AA1924" s="530">
        <f t="shared" si="2258"/>
        <v>14012960</v>
      </c>
      <c r="AB1924" s="530"/>
      <c r="AC1924" s="530"/>
      <c r="AD1924" s="530"/>
      <c r="AE1924" s="530"/>
      <c r="AF1924" s="530"/>
      <c r="AG1924" s="530">
        <f t="shared" ref="AG1924:AI1924" si="2259">SUM(AG1919:AG1923)</f>
        <v>0</v>
      </c>
      <c r="AH1924" s="530">
        <f t="shared" si="2259"/>
        <v>14012960</v>
      </c>
      <c r="AI1924" s="530">
        <f t="shared" si="2259"/>
        <v>14010980</v>
      </c>
      <c r="AJ1924" s="776">
        <f>AI1924/AH1924*100</f>
        <v>99.985870222993569</v>
      </c>
    </row>
    <row r="1925" spans="1:36" ht="16.5" customHeight="1">
      <c r="A1925" s="40"/>
      <c r="B1925" s="40"/>
      <c r="C1925" s="124"/>
      <c r="D1925" s="124"/>
      <c r="E1925" s="124"/>
      <c r="F1925" s="41"/>
      <c r="G1925" s="41"/>
      <c r="H1925" s="63"/>
      <c r="I1925" s="41"/>
      <c r="J1925" s="680"/>
      <c r="K1925" s="679"/>
      <c r="L1925" s="678"/>
      <c r="M1925" s="678"/>
      <c r="N1925" s="678"/>
      <c r="O1925" s="678"/>
      <c r="P1925" s="678"/>
      <c r="Q1925" s="678"/>
      <c r="R1925" s="678"/>
      <c r="S1925" s="678"/>
      <c r="T1925" s="678"/>
      <c r="U1925" s="678"/>
      <c r="V1925" s="678"/>
      <c r="W1925" s="678"/>
      <c r="X1925" s="678"/>
      <c r="Y1925" s="678"/>
      <c r="Z1925" s="678"/>
      <c r="AA1925" s="678"/>
      <c r="AB1925" s="702"/>
      <c r="AC1925" s="702"/>
      <c r="AD1925" s="702"/>
      <c r="AE1925" s="702"/>
      <c r="AF1925" s="702"/>
      <c r="AG1925" s="702"/>
      <c r="AH1925" s="702"/>
      <c r="AI1925" s="702"/>
      <c r="AJ1925" s="780"/>
    </row>
    <row r="1926" spans="1:36" ht="16.5" customHeight="1">
      <c r="A1926" s="40">
        <v>229</v>
      </c>
      <c r="B1926" s="40"/>
      <c r="C1926" s="124"/>
      <c r="D1926" s="124"/>
      <c r="E1926" s="124"/>
      <c r="F1926" s="942" t="s">
        <v>570</v>
      </c>
      <c r="G1926" s="935"/>
      <c r="H1926" s="935"/>
      <c r="I1926" s="936"/>
      <c r="J1926" s="452"/>
      <c r="K1926" s="453"/>
      <c r="L1926" s="454"/>
      <c r="M1926" s="454"/>
      <c r="N1926" s="454"/>
      <c r="O1926" s="454"/>
      <c r="P1926" s="454"/>
      <c r="Q1926" s="454"/>
      <c r="R1926" s="454"/>
      <c r="S1926" s="454"/>
      <c r="T1926" s="454"/>
      <c r="U1926" s="454"/>
      <c r="V1926" s="454"/>
      <c r="W1926" s="454"/>
      <c r="X1926" s="454"/>
      <c r="Y1926" s="454"/>
      <c r="Z1926" s="454"/>
      <c r="AA1926" s="454"/>
      <c r="AB1926" s="454"/>
      <c r="AC1926" s="454"/>
      <c r="AD1926" s="454"/>
      <c r="AE1926" s="454"/>
      <c r="AF1926" s="454"/>
      <c r="AG1926" s="454"/>
      <c r="AH1926" s="454"/>
      <c r="AI1926" s="454"/>
      <c r="AJ1926" s="769"/>
    </row>
    <row r="1927" spans="1:36" ht="16.5" customHeight="1">
      <c r="A1927" s="40"/>
      <c r="B1927" s="40"/>
      <c r="C1927" s="124">
        <v>2</v>
      </c>
      <c r="D1927" s="124"/>
      <c r="E1927" s="124"/>
      <c r="F1927" s="41"/>
      <c r="G1927" s="41"/>
      <c r="H1927" s="162" t="s">
        <v>211</v>
      </c>
      <c r="I1927" s="125"/>
      <c r="J1927" s="524"/>
      <c r="K1927" s="525"/>
      <c r="L1927" s="526"/>
      <c r="M1927" s="526"/>
      <c r="N1927" s="526"/>
      <c r="O1927" s="526"/>
      <c r="P1927" s="526"/>
      <c r="Q1927" s="526"/>
      <c r="R1927" s="526"/>
      <c r="S1927" s="526"/>
      <c r="T1927" s="526"/>
      <c r="U1927" s="526"/>
      <c r="V1927" s="526"/>
      <c r="W1927" s="526"/>
      <c r="X1927" s="526"/>
      <c r="Y1927" s="526"/>
      <c r="Z1927" s="526"/>
      <c r="AA1927" s="526"/>
      <c r="AB1927" s="526"/>
      <c r="AC1927" s="526"/>
      <c r="AD1927" s="526"/>
      <c r="AE1927" s="526"/>
      <c r="AF1927" s="526"/>
      <c r="AG1927" s="526"/>
      <c r="AH1927" s="526"/>
      <c r="AI1927" s="526"/>
      <c r="AJ1927" s="779"/>
    </row>
    <row r="1928" spans="1:36" ht="16.5" customHeight="1">
      <c r="A1928" s="40"/>
      <c r="B1928" s="40"/>
      <c r="C1928" s="124"/>
      <c r="D1928" s="124">
        <v>6</v>
      </c>
      <c r="E1928" s="124" t="s">
        <v>199</v>
      </c>
      <c r="F1928" s="41"/>
      <c r="G1928" s="41"/>
      <c r="H1928" s="163"/>
      <c r="I1928" s="125" t="s">
        <v>213</v>
      </c>
      <c r="J1928" s="524"/>
      <c r="K1928" s="525">
        <v>17380000</v>
      </c>
      <c r="L1928" s="454"/>
      <c r="M1928" s="454">
        <v>5293443</v>
      </c>
      <c r="N1928" s="454"/>
      <c r="O1928" s="454"/>
      <c r="P1928" s="454"/>
      <c r="Q1928" s="454"/>
      <c r="R1928" s="454"/>
      <c r="S1928" s="217">
        <f t="shared" ref="S1928" si="2260">SUM(M1928:R1928)</f>
        <v>5293443</v>
      </c>
      <c r="T1928" s="217">
        <f t="shared" ref="T1928" si="2261">S1928+L1928</f>
        <v>5293443</v>
      </c>
      <c r="U1928" s="454"/>
      <c r="V1928" s="454"/>
      <c r="W1928" s="454"/>
      <c r="X1928" s="454"/>
      <c r="Y1928" s="454"/>
      <c r="Z1928" s="217">
        <f>SUM(U1928:Y1928)</f>
        <v>0</v>
      </c>
      <c r="AA1928" s="217">
        <f>Z1928+T1928</f>
        <v>5293443</v>
      </c>
      <c r="AB1928" s="454"/>
      <c r="AC1928" s="454"/>
      <c r="AD1928" s="454"/>
      <c r="AE1928" s="454">
        <v>5158257</v>
      </c>
      <c r="AF1928" s="454"/>
      <c r="AG1928" s="217">
        <f t="shared" ref="AG1928" si="2262">SUM(AB1928:AF1928)</f>
        <v>5158257</v>
      </c>
      <c r="AH1928" s="217">
        <f t="shared" ref="AH1928" si="2263">AG1928+AA1928</f>
        <v>10451700</v>
      </c>
      <c r="AI1928" s="217">
        <v>5293443</v>
      </c>
      <c r="AJ1928" s="764">
        <f t="shared" ref="AJ1928" si="2264">AI1928/AH1928*100</f>
        <v>50.646717758833489</v>
      </c>
    </row>
    <row r="1929" spans="1:36" ht="16.5" customHeight="1">
      <c r="A1929" s="40"/>
      <c r="B1929" s="40"/>
      <c r="C1929" s="124"/>
      <c r="D1929" s="124"/>
      <c r="E1929" s="124"/>
      <c r="F1929" s="41"/>
      <c r="G1929" s="41"/>
      <c r="H1929" s="163"/>
      <c r="I1929" s="125"/>
      <c r="J1929" s="524"/>
      <c r="K1929" s="525"/>
      <c r="L1929" s="526"/>
      <c r="M1929" s="526"/>
      <c r="N1929" s="526"/>
      <c r="O1929" s="526"/>
      <c r="P1929" s="526"/>
      <c r="Q1929" s="526"/>
      <c r="R1929" s="526"/>
      <c r="S1929" s="526"/>
      <c r="T1929" s="526"/>
      <c r="U1929" s="526"/>
      <c r="V1929" s="526"/>
      <c r="W1929" s="526"/>
      <c r="X1929" s="526"/>
      <c r="Y1929" s="526"/>
      <c r="Z1929" s="526"/>
      <c r="AA1929" s="526"/>
      <c r="AB1929" s="526"/>
      <c r="AC1929" s="526"/>
      <c r="AD1929" s="526"/>
      <c r="AE1929" s="526"/>
      <c r="AF1929" s="526"/>
      <c r="AG1929" s="526"/>
      <c r="AH1929" s="526"/>
      <c r="AI1929" s="526"/>
      <c r="AJ1929" s="779"/>
    </row>
    <row r="1930" spans="1:36" ht="14">
      <c r="A1930" s="40"/>
      <c r="B1930" s="40"/>
      <c r="C1930" s="124"/>
      <c r="D1930" s="124"/>
      <c r="E1930" s="124"/>
      <c r="F1930" s="42"/>
      <c r="G1930" s="42"/>
      <c r="H1930" s="165"/>
      <c r="I1930" s="166" t="s">
        <v>37</v>
      </c>
      <c r="J1930" s="528"/>
      <c r="K1930" s="529">
        <f>SUM(K1925:K1929)</f>
        <v>17380000</v>
      </c>
      <c r="L1930" s="530">
        <f>SUM(L1925:L1929)</f>
        <v>0</v>
      </c>
      <c r="M1930" s="530">
        <f t="shared" ref="M1930:T1930" si="2265">SUM(M1925:M1929)</f>
        <v>5293443</v>
      </c>
      <c r="N1930" s="530">
        <f t="shared" si="2265"/>
        <v>0</v>
      </c>
      <c r="O1930" s="530">
        <f t="shared" si="2265"/>
        <v>0</v>
      </c>
      <c r="P1930" s="530">
        <f t="shared" si="2265"/>
        <v>0</v>
      </c>
      <c r="Q1930" s="530">
        <f t="shared" si="2265"/>
        <v>0</v>
      </c>
      <c r="R1930" s="530">
        <f t="shared" si="2265"/>
        <v>0</v>
      </c>
      <c r="S1930" s="530">
        <f t="shared" si="2265"/>
        <v>5293443</v>
      </c>
      <c r="T1930" s="530">
        <f t="shared" si="2265"/>
        <v>5293443</v>
      </c>
      <c r="U1930" s="530"/>
      <c r="V1930" s="530"/>
      <c r="W1930" s="530"/>
      <c r="X1930" s="530"/>
      <c r="Y1930" s="530"/>
      <c r="Z1930" s="530">
        <f t="shared" ref="Z1930:AA1930" si="2266">SUM(Z1925:Z1929)</f>
        <v>0</v>
      </c>
      <c r="AA1930" s="530">
        <f t="shared" si="2266"/>
        <v>5293443</v>
      </c>
      <c r="AB1930" s="530"/>
      <c r="AC1930" s="530"/>
      <c r="AD1930" s="530"/>
      <c r="AE1930" s="530">
        <f t="shared" ref="AE1930:AI1930" si="2267">SUM(AE1925:AE1929)</f>
        <v>5158257</v>
      </c>
      <c r="AF1930" s="530"/>
      <c r="AG1930" s="530">
        <f t="shared" si="2267"/>
        <v>5158257</v>
      </c>
      <c r="AH1930" s="530">
        <f t="shared" si="2267"/>
        <v>10451700</v>
      </c>
      <c r="AI1930" s="530">
        <f t="shared" si="2267"/>
        <v>5293443</v>
      </c>
      <c r="AJ1930" s="776">
        <f>AI1930/AH1930*100</f>
        <v>50.646717758833489</v>
      </c>
    </row>
    <row r="1931" spans="1:36" ht="14">
      <c r="A1931" s="40"/>
      <c r="B1931" s="40"/>
      <c r="C1931" s="124"/>
      <c r="D1931" s="124"/>
      <c r="E1931" s="124"/>
      <c r="F1931" s="41"/>
      <c r="G1931" s="41"/>
      <c r="H1931" s="63"/>
      <c r="I1931" s="41"/>
      <c r="J1931" s="680"/>
      <c r="K1931" s="679"/>
      <c r="L1931" s="678"/>
      <c r="M1931" s="678"/>
      <c r="N1931" s="678"/>
      <c r="O1931" s="678"/>
      <c r="P1931" s="678"/>
      <c r="Q1931" s="678"/>
      <c r="R1931" s="678"/>
      <c r="S1931" s="678"/>
      <c r="T1931" s="678"/>
      <c r="U1931" s="678"/>
      <c r="V1931" s="678"/>
      <c r="W1931" s="678"/>
      <c r="X1931" s="678"/>
      <c r="Y1931" s="678"/>
      <c r="Z1931" s="678"/>
      <c r="AA1931" s="678"/>
      <c r="AB1931" s="702"/>
      <c r="AC1931" s="702"/>
      <c r="AD1931" s="702"/>
      <c r="AE1931" s="702"/>
      <c r="AF1931" s="702"/>
      <c r="AG1931" s="702"/>
      <c r="AH1931" s="702"/>
      <c r="AI1931" s="702"/>
      <c r="AJ1931" s="780"/>
    </row>
    <row r="1932" spans="1:36" ht="14">
      <c r="A1932" s="40">
        <v>230</v>
      </c>
      <c r="B1932" s="40"/>
      <c r="C1932" s="124"/>
      <c r="D1932" s="124"/>
      <c r="E1932" s="124"/>
      <c r="F1932" s="942" t="s">
        <v>571</v>
      </c>
      <c r="G1932" s="935"/>
      <c r="H1932" s="935"/>
      <c r="I1932" s="936"/>
      <c r="J1932" s="452"/>
      <c r="K1932" s="453"/>
      <c r="L1932" s="454"/>
      <c r="M1932" s="454"/>
      <c r="N1932" s="454"/>
      <c r="O1932" s="454"/>
      <c r="P1932" s="454"/>
      <c r="Q1932" s="454"/>
      <c r="R1932" s="454"/>
      <c r="S1932" s="454"/>
      <c r="T1932" s="454"/>
      <c r="U1932" s="454"/>
      <c r="V1932" s="454"/>
      <c r="W1932" s="454"/>
      <c r="X1932" s="454"/>
      <c r="Y1932" s="454"/>
      <c r="Z1932" s="454"/>
      <c r="AA1932" s="454"/>
      <c r="AB1932" s="454"/>
      <c r="AC1932" s="454"/>
      <c r="AD1932" s="454"/>
      <c r="AE1932" s="454"/>
      <c r="AF1932" s="454"/>
      <c r="AG1932" s="454"/>
      <c r="AH1932" s="454"/>
      <c r="AI1932" s="454"/>
      <c r="AJ1932" s="769"/>
    </row>
    <row r="1933" spans="1:36" ht="14">
      <c r="A1933" s="40"/>
      <c r="B1933" s="40"/>
      <c r="C1933" s="124">
        <v>2</v>
      </c>
      <c r="D1933" s="124"/>
      <c r="E1933" s="124"/>
      <c r="F1933" s="41"/>
      <c r="G1933" s="41"/>
      <c r="H1933" s="162" t="s">
        <v>211</v>
      </c>
      <c r="I1933" s="125"/>
      <c r="J1933" s="524"/>
      <c r="K1933" s="525"/>
      <c r="L1933" s="526"/>
      <c r="M1933" s="526"/>
      <c r="N1933" s="526"/>
      <c r="O1933" s="526"/>
      <c r="P1933" s="526"/>
      <c r="Q1933" s="526"/>
      <c r="R1933" s="526"/>
      <c r="S1933" s="526"/>
      <c r="T1933" s="526"/>
      <c r="U1933" s="526"/>
      <c r="V1933" s="526"/>
      <c r="W1933" s="526"/>
      <c r="X1933" s="526"/>
      <c r="Y1933" s="526"/>
      <c r="Z1933" s="526"/>
      <c r="AA1933" s="526"/>
      <c r="AB1933" s="526"/>
      <c r="AC1933" s="526"/>
      <c r="AD1933" s="526"/>
      <c r="AE1933" s="526"/>
      <c r="AF1933" s="526"/>
      <c r="AG1933" s="526"/>
      <c r="AH1933" s="526"/>
      <c r="AI1933" s="526"/>
      <c r="AJ1933" s="779"/>
    </row>
    <row r="1934" spans="1:36" ht="14">
      <c r="A1934" s="40"/>
      <c r="B1934" s="40"/>
      <c r="C1934" s="124"/>
      <c r="D1934" s="124">
        <v>6</v>
      </c>
      <c r="E1934" s="124" t="s">
        <v>199</v>
      </c>
      <c r="F1934" s="41"/>
      <c r="G1934" s="41"/>
      <c r="H1934" s="163"/>
      <c r="I1934" s="125" t="s">
        <v>213</v>
      </c>
      <c r="J1934" s="524"/>
      <c r="K1934" s="525">
        <v>17380000</v>
      </c>
      <c r="L1934" s="454"/>
      <c r="M1934" s="454">
        <v>4999990</v>
      </c>
      <c r="N1934" s="454"/>
      <c r="O1934" s="454"/>
      <c r="P1934" s="454"/>
      <c r="Q1934" s="454"/>
      <c r="R1934" s="454"/>
      <c r="S1934" s="217">
        <f t="shared" ref="S1934" si="2268">SUM(M1934:R1934)</f>
        <v>4999990</v>
      </c>
      <c r="T1934" s="217">
        <f t="shared" ref="T1934" si="2269">S1934+L1934</f>
        <v>4999990</v>
      </c>
      <c r="U1934" s="454"/>
      <c r="V1934" s="454"/>
      <c r="W1934" s="454"/>
      <c r="X1934" s="454">
        <v>850900</v>
      </c>
      <c r="Y1934" s="454"/>
      <c r="Z1934" s="217">
        <f>SUM(U1934:Y1934)</f>
        <v>850900</v>
      </c>
      <c r="AA1934" s="217">
        <f>Z1934+T1934</f>
        <v>5850890</v>
      </c>
      <c r="AB1934" s="454"/>
      <c r="AC1934" s="454"/>
      <c r="AD1934" s="454"/>
      <c r="AE1934" s="454"/>
      <c r="AF1934" s="454"/>
      <c r="AG1934" s="217">
        <f t="shared" ref="AG1934" si="2270">SUM(AB1934:AF1934)</f>
        <v>0</v>
      </c>
      <c r="AH1934" s="217">
        <f t="shared" ref="AH1934" si="2271">AG1934+AA1934</f>
        <v>5850890</v>
      </c>
      <c r="AI1934" s="217">
        <v>5850890</v>
      </c>
      <c r="AJ1934" s="764">
        <f t="shared" ref="AJ1934" si="2272">AI1934/AH1934*100</f>
        <v>100</v>
      </c>
    </row>
    <row r="1935" spans="1:36" ht="14">
      <c r="A1935" s="40"/>
      <c r="B1935" s="40"/>
      <c r="C1935" s="124"/>
      <c r="D1935" s="124"/>
      <c r="E1935" s="124"/>
      <c r="F1935" s="41"/>
      <c r="G1935" s="41"/>
      <c r="H1935" s="163"/>
      <c r="I1935" s="125"/>
      <c r="J1935" s="524"/>
      <c r="K1935" s="525"/>
      <c r="L1935" s="526"/>
      <c r="M1935" s="526"/>
      <c r="N1935" s="526"/>
      <c r="O1935" s="526"/>
      <c r="P1935" s="526"/>
      <c r="Q1935" s="526"/>
      <c r="R1935" s="526"/>
      <c r="S1935" s="526"/>
      <c r="T1935" s="526"/>
      <c r="U1935" s="526"/>
      <c r="V1935" s="526"/>
      <c r="W1935" s="526"/>
      <c r="X1935" s="526"/>
      <c r="Y1935" s="526"/>
      <c r="Z1935" s="526"/>
      <c r="AA1935" s="526"/>
      <c r="AB1935" s="526"/>
      <c r="AC1935" s="526"/>
      <c r="AD1935" s="526"/>
      <c r="AE1935" s="526"/>
      <c r="AF1935" s="526"/>
      <c r="AG1935" s="526"/>
      <c r="AH1935" s="526"/>
      <c r="AI1935" s="526"/>
      <c r="AJ1935" s="779"/>
    </row>
    <row r="1936" spans="1:36" ht="14">
      <c r="A1936" s="40"/>
      <c r="B1936" s="40"/>
      <c r="C1936" s="124"/>
      <c r="D1936" s="124"/>
      <c r="E1936" s="124"/>
      <c r="F1936" s="42"/>
      <c r="G1936" s="42"/>
      <c r="H1936" s="165"/>
      <c r="I1936" s="166" t="s">
        <v>37</v>
      </c>
      <c r="J1936" s="528"/>
      <c r="K1936" s="529">
        <f>SUM(K1931:K1935)</f>
        <v>17380000</v>
      </c>
      <c r="L1936" s="530">
        <f>SUM(L1931:L1935)</f>
        <v>0</v>
      </c>
      <c r="M1936" s="530">
        <f t="shared" ref="M1936:T1936" si="2273">SUM(M1931:M1935)</f>
        <v>4999990</v>
      </c>
      <c r="N1936" s="530">
        <f t="shared" si="2273"/>
        <v>0</v>
      </c>
      <c r="O1936" s="530">
        <f t="shared" si="2273"/>
        <v>0</v>
      </c>
      <c r="P1936" s="530">
        <f t="shared" si="2273"/>
        <v>0</v>
      </c>
      <c r="Q1936" s="530">
        <f t="shared" si="2273"/>
        <v>0</v>
      </c>
      <c r="R1936" s="530">
        <f t="shared" si="2273"/>
        <v>0</v>
      </c>
      <c r="S1936" s="530">
        <f t="shared" si="2273"/>
        <v>4999990</v>
      </c>
      <c r="T1936" s="530">
        <f t="shared" si="2273"/>
        <v>4999990</v>
      </c>
      <c r="U1936" s="530"/>
      <c r="V1936" s="530"/>
      <c r="W1936" s="530"/>
      <c r="X1936" s="530">
        <f t="shared" ref="X1936:AA1936" si="2274">SUM(X1931:X1935)</f>
        <v>850900</v>
      </c>
      <c r="Y1936" s="530"/>
      <c r="Z1936" s="530">
        <f t="shared" si="2274"/>
        <v>850900</v>
      </c>
      <c r="AA1936" s="530">
        <f t="shared" si="2274"/>
        <v>5850890</v>
      </c>
      <c r="AB1936" s="530"/>
      <c r="AC1936" s="530"/>
      <c r="AD1936" s="530"/>
      <c r="AE1936" s="530">
        <f t="shared" ref="AE1936" si="2275">SUM(AE1931:AE1935)</f>
        <v>0</v>
      </c>
      <c r="AF1936" s="530"/>
      <c r="AG1936" s="530">
        <f t="shared" ref="AG1936:AI1936" si="2276">SUM(AG1931:AG1935)</f>
        <v>0</v>
      </c>
      <c r="AH1936" s="530">
        <f t="shared" si="2276"/>
        <v>5850890</v>
      </c>
      <c r="AI1936" s="530">
        <f t="shared" si="2276"/>
        <v>5850890</v>
      </c>
      <c r="AJ1936" s="776">
        <f>AI1936/AH1936*100</f>
        <v>100</v>
      </c>
    </row>
    <row r="1937" spans="1:36" ht="14">
      <c r="A1937" s="40"/>
      <c r="B1937" s="40"/>
      <c r="C1937" s="124"/>
      <c r="D1937" s="124"/>
      <c r="E1937" s="124"/>
      <c r="F1937" s="41"/>
      <c r="G1937" s="41"/>
      <c r="H1937" s="63"/>
      <c r="I1937" s="41"/>
      <c r="J1937" s="680"/>
      <c r="K1937" s="679"/>
      <c r="L1937" s="678"/>
      <c r="M1937" s="678"/>
      <c r="N1937" s="678"/>
      <c r="O1937" s="678"/>
      <c r="P1937" s="678"/>
      <c r="Q1937" s="678"/>
      <c r="R1937" s="678"/>
      <c r="S1937" s="678"/>
      <c r="T1937" s="678"/>
      <c r="U1937" s="678"/>
      <c r="V1937" s="678"/>
      <c r="W1937" s="678"/>
      <c r="X1937" s="678"/>
      <c r="Y1937" s="678"/>
      <c r="Z1937" s="678"/>
      <c r="AA1937" s="678"/>
      <c r="AB1937" s="702"/>
      <c r="AC1937" s="702"/>
      <c r="AD1937" s="702"/>
      <c r="AE1937" s="702"/>
      <c r="AF1937" s="702"/>
      <c r="AG1937" s="702"/>
      <c r="AH1937" s="702"/>
      <c r="AI1937" s="702"/>
      <c r="AJ1937" s="780"/>
    </row>
    <row r="1938" spans="1:36" ht="16.5" customHeight="1">
      <c r="A1938" s="40">
        <v>231</v>
      </c>
      <c r="B1938" s="40"/>
      <c r="C1938" s="124"/>
      <c r="D1938" s="124"/>
      <c r="E1938" s="124"/>
      <c r="F1938" s="942" t="s">
        <v>572</v>
      </c>
      <c r="G1938" s="935"/>
      <c r="H1938" s="935"/>
      <c r="I1938" s="936"/>
      <c r="J1938" s="452"/>
      <c r="K1938" s="453"/>
      <c r="L1938" s="454"/>
      <c r="M1938" s="454"/>
      <c r="N1938" s="454"/>
      <c r="O1938" s="454"/>
      <c r="P1938" s="454"/>
      <c r="Q1938" s="454"/>
      <c r="R1938" s="454"/>
      <c r="S1938" s="454"/>
      <c r="T1938" s="454"/>
      <c r="U1938" s="454"/>
      <c r="V1938" s="454"/>
      <c r="W1938" s="454"/>
      <c r="X1938" s="454"/>
      <c r="Y1938" s="454"/>
      <c r="Z1938" s="454"/>
      <c r="AA1938" s="454"/>
      <c r="AB1938" s="454"/>
      <c r="AC1938" s="454"/>
      <c r="AD1938" s="454"/>
      <c r="AE1938" s="454"/>
      <c r="AF1938" s="454"/>
      <c r="AG1938" s="454"/>
      <c r="AH1938" s="454"/>
      <c r="AI1938" s="454"/>
      <c r="AJ1938" s="769"/>
    </row>
    <row r="1939" spans="1:36" ht="14">
      <c r="A1939" s="40"/>
      <c r="B1939" s="40"/>
      <c r="C1939" s="124">
        <v>2</v>
      </c>
      <c r="D1939" s="124"/>
      <c r="E1939" s="124"/>
      <c r="F1939" s="41"/>
      <c r="G1939" s="41"/>
      <c r="H1939" s="162" t="s">
        <v>211</v>
      </c>
      <c r="I1939" s="125"/>
      <c r="J1939" s="524"/>
      <c r="K1939" s="525"/>
      <c r="L1939" s="526"/>
      <c r="M1939" s="526"/>
      <c r="N1939" s="526"/>
      <c r="O1939" s="526"/>
      <c r="P1939" s="526"/>
      <c r="Q1939" s="526"/>
      <c r="R1939" s="526"/>
      <c r="S1939" s="526"/>
      <c r="T1939" s="526"/>
      <c r="U1939" s="526"/>
      <c r="V1939" s="526"/>
      <c r="W1939" s="526"/>
      <c r="X1939" s="526"/>
      <c r="Y1939" s="526"/>
      <c r="Z1939" s="526"/>
      <c r="AA1939" s="526"/>
      <c r="AB1939" s="526"/>
      <c r="AC1939" s="526"/>
      <c r="AD1939" s="526"/>
      <c r="AE1939" s="526"/>
      <c r="AF1939" s="526"/>
      <c r="AG1939" s="526"/>
      <c r="AH1939" s="526"/>
      <c r="AI1939" s="526"/>
      <c r="AJ1939" s="779"/>
    </row>
    <row r="1940" spans="1:36" ht="14">
      <c r="A1940" s="40"/>
      <c r="B1940" s="40"/>
      <c r="C1940" s="124"/>
      <c r="D1940" s="124">
        <v>6</v>
      </c>
      <c r="E1940" s="124" t="s">
        <v>199</v>
      </c>
      <c r="F1940" s="41"/>
      <c r="G1940" s="41"/>
      <c r="H1940" s="163"/>
      <c r="I1940" s="125" t="s">
        <v>213</v>
      </c>
      <c r="J1940" s="524"/>
      <c r="K1940" s="525">
        <v>17380000</v>
      </c>
      <c r="L1940" s="454"/>
      <c r="M1940" s="454">
        <v>7000000</v>
      </c>
      <c r="N1940" s="454"/>
      <c r="O1940" s="454"/>
      <c r="P1940" s="454"/>
      <c r="Q1940" s="454"/>
      <c r="R1940" s="454"/>
      <c r="S1940" s="217">
        <f t="shared" ref="S1940" si="2277">SUM(M1940:R1940)</f>
        <v>7000000</v>
      </c>
      <c r="T1940" s="217">
        <f t="shared" ref="T1940" si="2278">S1940+L1940</f>
        <v>7000000</v>
      </c>
      <c r="U1940" s="454"/>
      <c r="V1940" s="454"/>
      <c r="W1940" s="454"/>
      <c r="X1940" s="454"/>
      <c r="Y1940" s="454"/>
      <c r="Z1940" s="217">
        <f>SUM(U1940:Y1940)</f>
        <v>0</v>
      </c>
      <c r="AA1940" s="217">
        <f>Z1940+T1940</f>
        <v>7000000</v>
      </c>
      <c r="AB1940" s="454"/>
      <c r="AC1940" s="454"/>
      <c r="AD1940" s="454"/>
      <c r="AE1940" s="454"/>
      <c r="AF1940" s="454"/>
      <c r="AG1940" s="217">
        <f t="shared" ref="AG1940" si="2279">SUM(AB1940:AF1940)</f>
        <v>0</v>
      </c>
      <c r="AH1940" s="217">
        <f t="shared" ref="AH1940" si="2280">AG1940+AA1940</f>
        <v>7000000</v>
      </c>
      <c r="AI1940" s="217"/>
      <c r="AJ1940" s="764"/>
    </row>
    <row r="1941" spans="1:36" ht="14">
      <c r="A1941" s="40"/>
      <c r="B1941" s="40"/>
      <c r="C1941" s="124"/>
      <c r="D1941" s="124"/>
      <c r="E1941" s="124"/>
      <c r="F1941" s="41"/>
      <c r="G1941" s="41"/>
      <c r="H1941" s="163"/>
      <c r="I1941" s="125"/>
      <c r="J1941" s="524"/>
      <c r="K1941" s="525"/>
      <c r="L1941" s="526"/>
      <c r="M1941" s="526"/>
      <c r="N1941" s="526"/>
      <c r="O1941" s="526"/>
      <c r="P1941" s="526"/>
      <c r="Q1941" s="526"/>
      <c r="R1941" s="526"/>
      <c r="S1941" s="526"/>
      <c r="T1941" s="526"/>
      <c r="U1941" s="526"/>
      <c r="V1941" s="526"/>
      <c r="W1941" s="526"/>
      <c r="X1941" s="526"/>
      <c r="Y1941" s="526"/>
      <c r="Z1941" s="526"/>
      <c r="AA1941" s="526"/>
      <c r="AB1941" s="526"/>
      <c r="AC1941" s="526"/>
      <c r="AD1941" s="526"/>
      <c r="AE1941" s="526"/>
      <c r="AF1941" s="526"/>
      <c r="AG1941" s="526"/>
      <c r="AH1941" s="526"/>
      <c r="AI1941" s="526"/>
      <c r="AJ1941" s="779"/>
    </row>
    <row r="1942" spans="1:36" ht="14">
      <c r="A1942" s="40"/>
      <c r="B1942" s="40"/>
      <c r="C1942" s="124"/>
      <c r="D1942" s="124"/>
      <c r="E1942" s="124"/>
      <c r="F1942" s="42"/>
      <c r="G1942" s="42"/>
      <c r="H1942" s="165"/>
      <c r="I1942" s="166" t="s">
        <v>37</v>
      </c>
      <c r="J1942" s="528"/>
      <c r="K1942" s="529">
        <f>SUM(K1937:K1941)</f>
        <v>17380000</v>
      </c>
      <c r="L1942" s="530">
        <f>SUM(L1937:L1941)</f>
        <v>0</v>
      </c>
      <c r="M1942" s="530">
        <f t="shared" ref="M1942:T1942" si="2281">SUM(M1937:M1941)</f>
        <v>7000000</v>
      </c>
      <c r="N1942" s="530">
        <f t="shared" si="2281"/>
        <v>0</v>
      </c>
      <c r="O1942" s="530">
        <f t="shared" si="2281"/>
        <v>0</v>
      </c>
      <c r="P1942" s="530">
        <f t="shared" si="2281"/>
        <v>0</v>
      </c>
      <c r="Q1942" s="530">
        <f t="shared" si="2281"/>
        <v>0</v>
      </c>
      <c r="R1942" s="530">
        <f t="shared" si="2281"/>
        <v>0</v>
      </c>
      <c r="S1942" s="530">
        <f t="shared" si="2281"/>
        <v>7000000</v>
      </c>
      <c r="T1942" s="530">
        <f t="shared" si="2281"/>
        <v>7000000</v>
      </c>
      <c r="U1942" s="530"/>
      <c r="V1942" s="530"/>
      <c r="W1942" s="530"/>
      <c r="X1942" s="530"/>
      <c r="Y1942" s="530"/>
      <c r="Z1942" s="530">
        <f t="shared" ref="Z1942:AA1942" si="2282">SUM(Z1937:Z1941)</f>
        <v>0</v>
      </c>
      <c r="AA1942" s="530">
        <f t="shared" si="2282"/>
        <v>7000000</v>
      </c>
      <c r="AB1942" s="530"/>
      <c r="AC1942" s="530"/>
      <c r="AD1942" s="530"/>
      <c r="AE1942" s="530"/>
      <c r="AF1942" s="530"/>
      <c r="AG1942" s="530">
        <f t="shared" ref="AG1942:AH1942" si="2283">SUM(AG1937:AG1941)</f>
        <v>0</v>
      </c>
      <c r="AH1942" s="530">
        <f t="shared" si="2283"/>
        <v>7000000</v>
      </c>
      <c r="AI1942" s="530"/>
      <c r="AJ1942" s="776"/>
    </row>
    <row r="1943" spans="1:36" ht="14">
      <c r="A1943" s="40"/>
      <c r="B1943" s="40"/>
      <c r="C1943" s="124"/>
      <c r="D1943" s="124"/>
      <c r="E1943" s="124"/>
      <c r="F1943" s="41"/>
      <c r="G1943" s="41"/>
      <c r="H1943" s="63"/>
      <c r="I1943" s="41"/>
      <c r="J1943" s="680"/>
      <c r="K1943" s="679"/>
      <c r="L1943" s="678"/>
      <c r="M1943" s="678"/>
      <c r="N1943" s="678"/>
      <c r="O1943" s="678"/>
      <c r="P1943" s="678"/>
      <c r="Q1943" s="678"/>
      <c r="R1943" s="678"/>
      <c r="S1943" s="678"/>
      <c r="T1943" s="678"/>
      <c r="U1943" s="678"/>
      <c r="V1943" s="678"/>
      <c r="W1943" s="678"/>
      <c r="X1943" s="678"/>
      <c r="Y1943" s="678"/>
      <c r="Z1943" s="678"/>
      <c r="AA1943" s="678"/>
      <c r="AB1943" s="702"/>
      <c r="AC1943" s="702"/>
      <c r="AD1943" s="702"/>
      <c r="AE1943" s="702"/>
      <c r="AF1943" s="702"/>
      <c r="AG1943" s="702"/>
      <c r="AH1943" s="702"/>
      <c r="AI1943" s="702"/>
      <c r="AJ1943" s="780"/>
    </row>
    <row r="1944" spans="1:36" ht="14">
      <c r="A1944" s="40">
        <v>232</v>
      </c>
      <c r="B1944" s="40"/>
      <c r="C1944" s="124"/>
      <c r="D1944" s="124"/>
      <c r="E1944" s="124"/>
      <c r="F1944" s="942" t="s">
        <v>669</v>
      </c>
      <c r="G1944" s="935"/>
      <c r="H1944" s="935"/>
      <c r="I1944" s="936"/>
      <c r="J1944" s="452"/>
      <c r="K1944" s="453"/>
      <c r="L1944" s="454"/>
      <c r="M1944" s="454"/>
      <c r="N1944" s="454"/>
      <c r="O1944" s="454"/>
      <c r="P1944" s="454"/>
      <c r="Q1944" s="454"/>
      <c r="R1944" s="454"/>
      <c r="S1944" s="454"/>
      <c r="T1944" s="454"/>
      <c r="U1944" s="454"/>
      <c r="V1944" s="454"/>
      <c r="W1944" s="454"/>
      <c r="X1944" s="454"/>
      <c r="Y1944" s="454"/>
      <c r="Z1944" s="454"/>
      <c r="AA1944" s="454"/>
      <c r="AB1944" s="454"/>
      <c r="AC1944" s="454"/>
      <c r="AD1944" s="454"/>
      <c r="AE1944" s="454"/>
      <c r="AF1944" s="454"/>
      <c r="AG1944" s="454"/>
      <c r="AH1944" s="454"/>
      <c r="AI1944" s="454"/>
      <c r="AJ1944" s="769"/>
    </row>
    <row r="1945" spans="1:36" ht="14">
      <c r="A1945" s="40"/>
      <c r="B1945" s="40"/>
      <c r="C1945" s="124">
        <v>2</v>
      </c>
      <c r="D1945" s="124"/>
      <c r="E1945" s="124"/>
      <c r="F1945" s="41"/>
      <c r="G1945" s="41"/>
      <c r="H1945" s="162" t="s">
        <v>211</v>
      </c>
      <c r="I1945" s="125"/>
      <c r="J1945" s="524"/>
      <c r="K1945" s="525"/>
      <c r="L1945" s="526"/>
      <c r="M1945" s="526"/>
      <c r="N1945" s="526"/>
      <c r="O1945" s="526"/>
      <c r="P1945" s="526"/>
      <c r="Q1945" s="526"/>
      <c r="R1945" s="526"/>
      <c r="S1945" s="526"/>
      <c r="T1945" s="526"/>
      <c r="U1945" s="526"/>
      <c r="V1945" s="526"/>
      <c r="W1945" s="526"/>
      <c r="X1945" s="526"/>
      <c r="Y1945" s="526"/>
      <c r="Z1945" s="526"/>
      <c r="AA1945" s="526"/>
      <c r="AB1945" s="526"/>
      <c r="AC1945" s="526"/>
      <c r="AD1945" s="526"/>
      <c r="AE1945" s="526"/>
      <c r="AF1945" s="526"/>
      <c r="AG1945" s="526"/>
      <c r="AH1945" s="526"/>
      <c r="AI1945" s="526"/>
      <c r="AJ1945" s="779"/>
    </row>
    <row r="1946" spans="1:36" ht="14">
      <c r="A1946" s="40"/>
      <c r="B1946" s="40"/>
      <c r="C1946" s="124"/>
      <c r="D1946" s="124">
        <v>6</v>
      </c>
      <c r="E1946" s="124" t="s">
        <v>199</v>
      </c>
      <c r="F1946" s="41"/>
      <c r="G1946" s="41"/>
      <c r="H1946" s="163"/>
      <c r="I1946" s="125" t="s">
        <v>213</v>
      </c>
      <c r="J1946" s="524"/>
      <c r="K1946" s="525">
        <v>17380000</v>
      </c>
      <c r="L1946" s="454"/>
      <c r="M1946" s="454">
        <v>16160096</v>
      </c>
      <c r="N1946" s="454"/>
      <c r="O1946" s="454"/>
      <c r="P1946" s="454"/>
      <c r="Q1946" s="454"/>
      <c r="R1946" s="454"/>
      <c r="S1946" s="217">
        <f t="shared" ref="S1946" si="2284">SUM(M1946:R1946)</f>
        <v>16160096</v>
      </c>
      <c r="T1946" s="217">
        <f t="shared" ref="T1946" si="2285">S1946+L1946</f>
        <v>16160096</v>
      </c>
      <c r="U1946" s="454"/>
      <c r="V1946" s="454"/>
      <c r="W1946" s="454"/>
      <c r="X1946" s="454"/>
      <c r="Y1946" s="454"/>
      <c r="Z1946" s="217">
        <f>SUM(U1946:Y1946)</f>
        <v>0</v>
      </c>
      <c r="AA1946" s="217">
        <f>Z1946+T1946</f>
        <v>16160096</v>
      </c>
      <c r="AB1946" s="454"/>
      <c r="AC1946" s="454"/>
      <c r="AD1946" s="454"/>
      <c r="AE1946" s="454"/>
      <c r="AF1946" s="454"/>
      <c r="AG1946" s="217">
        <f t="shared" ref="AG1946" si="2286">SUM(AB1946:AF1946)</f>
        <v>0</v>
      </c>
      <c r="AH1946" s="217">
        <f t="shared" ref="AH1946" si="2287">AG1946+AA1946</f>
        <v>16160096</v>
      </c>
      <c r="AI1946" s="217">
        <v>16160096</v>
      </c>
      <c r="AJ1946" s="764">
        <f t="shared" ref="AJ1946" si="2288">AI1946/AH1946*100</f>
        <v>100</v>
      </c>
    </row>
    <row r="1947" spans="1:36" ht="14">
      <c r="A1947" s="40"/>
      <c r="B1947" s="40"/>
      <c r="C1947" s="124"/>
      <c r="D1947" s="124"/>
      <c r="E1947" s="124"/>
      <c r="F1947" s="41"/>
      <c r="G1947" s="41"/>
      <c r="H1947" s="163"/>
      <c r="I1947" s="125"/>
      <c r="J1947" s="524"/>
      <c r="K1947" s="525"/>
      <c r="L1947" s="526"/>
      <c r="M1947" s="526"/>
      <c r="N1947" s="526"/>
      <c r="O1947" s="526"/>
      <c r="P1947" s="526"/>
      <c r="Q1947" s="526"/>
      <c r="R1947" s="526"/>
      <c r="S1947" s="526"/>
      <c r="T1947" s="526"/>
      <c r="U1947" s="526"/>
      <c r="V1947" s="526"/>
      <c r="W1947" s="526"/>
      <c r="X1947" s="526"/>
      <c r="Y1947" s="526"/>
      <c r="Z1947" s="526"/>
      <c r="AA1947" s="526"/>
      <c r="AB1947" s="526"/>
      <c r="AC1947" s="526"/>
      <c r="AD1947" s="526"/>
      <c r="AE1947" s="526"/>
      <c r="AF1947" s="526"/>
      <c r="AG1947" s="526"/>
      <c r="AH1947" s="526"/>
      <c r="AI1947" s="526"/>
      <c r="AJ1947" s="779"/>
    </row>
    <row r="1948" spans="1:36" ht="14">
      <c r="A1948" s="40"/>
      <c r="B1948" s="40"/>
      <c r="C1948" s="124"/>
      <c r="D1948" s="124"/>
      <c r="E1948" s="124"/>
      <c r="F1948" s="42"/>
      <c r="G1948" s="42"/>
      <c r="H1948" s="165"/>
      <c r="I1948" s="166" t="s">
        <v>37</v>
      </c>
      <c r="J1948" s="528"/>
      <c r="K1948" s="529">
        <f>SUM(K1943:K1947)</f>
        <v>17380000</v>
      </c>
      <c r="L1948" s="530">
        <f>SUM(L1943:L1947)</f>
        <v>0</v>
      </c>
      <c r="M1948" s="530">
        <f t="shared" ref="M1948:T1948" si="2289">SUM(M1943:M1947)</f>
        <v>16160096</v>
      </c>
      <c r="N1948" s="530">
        <f t="shared" si="2289"/>
        <v>0</v>
      </c>
      <c r="O1948" s="530">
        <f t="shared" si="2289"/>
        <v>0</v>
      </c>
      <c r="P1948" s="530">
        <f t="shared" si="2289"/>
        <v>0</v>
      </c>
      <c r="Q1948" s="530">
        <f t="shared" si="2289"/>
        <v>0</v>
      </c>
      <c r="R1948" s="530">
        <f t="shared" si="2289"/>
        <v>0</v>
      </c>
      <c r="S1948" s="530">
        <f t="shared" si="2289"/>
        <v>16160096</v>
      </c>
      <c r="T1948" s="530">
        <f t="shared" si="2289"/>
        <v>16160096</v>
      </c>
      <c r="U1948" s="530"/>
      <c r="V1948" s="530"/>
      <c r="W1948" s="530"/>
      <c r="X1948" s="530"/>
      <c r="Y1948" s="530"/>
      <c r="Z1948" s="530">
        <f t="shared" ref="Z1948:AA1948" si="2290">SUM(Z1943:Z1947)</f>
        <v>0</v>
      </c>
      <c r="AA1948" s="530">
        <f t="shared" si="2290"/>
        <v>16160096</v>
      </c>
      <c r="AB1948" s="530"/>
      <c r="AC1948" s="530"/>
      <c r="AD1948" s="530"/>
      <c r="AE1948" s="530"/>
      <c r="AF1948" s="530"/>
      <c r="AG1948" s="530">
        <f t="shared" ref="AG1948:AI1948" si="2291">SUM(AG1943:AG1947)</f>
        <v>0</v>
      </c>
      <c r="AH1948" s="530">
        <f t="shared" si="2291"/>
        <v>16160096</v>
      </c>
      <c r="AI1948" s="530">
        <f t="shared" si="2291"/>
        <v>16160096</v>
      </c>
      <c r="AJ1948" s="776">
        <f>AI1948/AH1948*100</f>
        <v>100</v>
      </c>
    </row>
    <row r="1949" spans="1:36" ht="14">
      <c r="A1949" s="40"/>
      <c r="B1949" s="40"/>
      <c r="C1949" s="124"/>
      <c r="D1949" s="124"/>
      <c r="E1949" s="124"/>
      <c r="F1949" s="41"/>
      <c r="G1949" s="41"/>
      <c r="H1949" s="63"/>
      <c r="I1949" s="41"/>
      <c r="J1949" s="680"/>
      <c r="K1949" s="679"/>
      <c r="L1949" s="678"/>
      <c r="M1949" s="678"/>
      <c r="N1949" s="678"/>
      <c r="O1949" s="678"/>
      <c r="P1949" s="678"/>
      <c r="Q1949" s="678"/>
      <c r="R1949" s="678"/>
      <c r="S1949" s="678"/>
      <c r="T1949" s="678"/>
      <c r="U1949" s="678"/>
      <c r="V1949" s="678"/>
      <c r="W1949" s="678"/>
      <c r="X1949" s="678"/>
      <c r="Y1949" s="678"/>
      <c r="Z1949" s="678"/>
      <c r="AA1949" s="678"/>
      <c r="AB1949" s="702"/>
      <c r="AC1949" s="702"/>
      <c r="AD1949" s="702"/>
      <c r="AE1949" s="702"/>
      <c r="AF1949" s="702"/>
      <c r="AG1949" s="702"/>
      <c r="AH1949" s="702"/>
      <c r="AI1949" s="702"/>
      <c r="AJ1949" s="780"/>
    </row>
    <row r="1950" spans="1:36" ht="14">
      <c r="A1950" s="40">
        <v>233</v>
      </c>
      <c r="B1950" s="40"/>
      <c r="C1950" s="124"/>
      <c r="D1950" s="124"/>
      <c r="E1950" s="124"/>
      <c r="F1950" s="942" t="s">
        <v>573</v>
      </c>
      <c r="G1950" s="935"/>
      <c r="H1950" s="935"/>
      <c r="I1950" s="936"/>
      <c r="J1950" s="452"/>
      <c r="K1950" s="453"/>
      <c r="L1950" s="454"/>
      <c r="M1950" s="454"/>
      <c r="N1950" s="454"/>
      <c r="O1950" s="454"/>
      <c r="P1950" s="454"/>
      <c r="Q1950" s="454"/>
      <c r="R1950" s="454"/>
      <c r="S1950" s="454"/>
      <c r="T1950" s="454"/>
      <c r="U1950" s="454"/>
      <c r="V1950" s="454"/>
      <c r="W1950" s="454"/>
      <c r="X1950" s="454"/>
      <c r="Y1950" s="454"/>
      <c r="Z1950" s="454"/>
      <c r="AA1950" s="454"/>
      <c r="AB1950" s="454"/>
      <c r="AC1950" s="454"/>
      <c r="AD1950" s="454"/>
      <c r="AE1950" s="454"/>
      <c r="AF1950" s="454"/>
      <c r="AG1950" s="454"/>
      <c r="AH1950" s="454"/>
      <c r="AI1950" s="454"/>
      <c r="AJ1950" s="769"/>
    </row>
    <row r="1951" spans="1:36" ht="14">
      <c r="A1951" s="40"/>
      <c r="B1951" s="40"/>
      <c r="C1951" s="124">
        <v>2</v>
      </c>
      <c r="D1951" s="124"/>
      <c r="E1951" s="124"/>
      <c r="F1951" s="41"/>
      <c r="G1951" s="41"/>
      <c r="H1951" s="162" t="s">
        <v>211</v>
      </c>
      <c r="I1951" s="125"/>
      <c r="J1951" s="524"/>
      <c r="K1951" s="525"/>
      <c r="L1951" s="526"/>
      <c r="M1951" s="526"/>
      <c r="N1951" s="526"/>
      <c r="O1951" s="526"/>
      <c r="P1951" s="526"/>
      <c r="Q1951" s="526"/>
      <c r="R1951" s="526"/>
      <c r="S1951" s="526"/>
      <c r="T1951" s="526"/>
      <c r="U1951" s="526"/>
      <c r="V1951" s="526"/>
      <c r="W1951" s="526"/>
      <c r="X1951" s="526"/>
      <c r="Y1951" s="526"/>
      <c r="Z1951" s="526"/>
      <c r="AA1951" s="526"/>
      <c r="AB1951" s="526"/>
      <c r="AC1951" s="526"/>
      <c r="AD1951" s="526"/>
      <c r="AE1951" s="526"/>
      <c r="AF1951" s="526"/>
      <c r="AG1951" s="526"/>
      <c r="AH1951" s="526"/>
      <c r="AI1951" s="526"/>
      <c r="AJ1951" s="779"/>
    </row>
    <row r="1952" spans="1:36" ht="14">
      <c r="A1952" s="40"/>
      <c r="B1952" s="40"/>
      <c r="C1952" s="124"/>
      <c r="D1952" s="124">
        <v>6</v>
      </c>
      <c r="E1952" s="124" t="s">
        <v>199</v>
      </c>
      <c r="F1952" s="41"/>
      <c r="G1952" s="41"/>
      <c r="H1952" s="163"/>
      <c r="I1952" s="125" t="s">
        <v>213</v>
      </c>
      <c r="J1952" s="524"/>
      <c r="K1952" s="525">
        <v>17380000</v>
      </c>
      <c r="L1952" s="454"/>
      <c r="M1952" s="454">
        <v>115200000</v>
      </c>
      <c r="N1952" s="454"/>
      <c r="O1952" s="454"/>
      <c r="P1952" s="454"/>
      <c r="Q1952" s="454">
        <v>-24300000</v>
      </c>
      <c r="R1952" s="454"/>
      <c r="S1952" s="217">
        <f t="shared" ref="S1952" si="2292">SUM(M1952:R1952)</f>
        <v>90900000</v>
      </c>
      <c r="T1952" s="217">
        <f t="shared" ref="T1952" si="2293">S1952+L1952</f>
        <v>90900000</v>
      </c>
      <c r="U1952" s="454"/>
      <c r="V1952" s="454"/>
      <c r="W1952" s="454"/>
      <c r="X1952" s="454"/>
      <c r="Y1952" s="454"/>
      <c r="Z1952" s="217">
        <f>SUM(U1952:Y1952)</f>
        <v>0</v>
      </c>
      <c r="AA1952" s="217">
        <f>Z1952+T1952</f>
        <v>90900000</v>
      </c>
      <c r="AB1952" s="454"/>
      <c r="AC1952" s="454"/>
      <c r="AD1952" s="454"/>
      <c r="AE1952" s="454"/>
      <c r="AF1952" s="454"/>
      <c r="AG1952" s="217">
        <f t="shared" ref="AG1952" si="2294">SUM(AB1952:AF1952)</f>
        <v>0</v>
      </c>
      <c r="AH1952" s="217">
        <f t="shared" ref="AH1952" si="2295">AG1952+AA1952</f>
        <v>90900000</v>
      </c>
      <c r="AI1952" s="217">
        <v>90900000</v>
      </c>
      <c r="AJ1952" s="764">
        <f t="shared" ref="AJ1952" si="2296">AI1952/AH1952*100</f>
        <v>100</v>
      </c>
    </row>
    <row r="1953" spans="1:36" ht="14">
      <c r="A1953" s="40"/>
      <c r="B1953" s="40"/>
      <c r="C1953" s="124"/>
      <c r="D1953" s="124"/>
      <c r="E1953" s="124"/>
      <c r="F1953" s="41"/>
      <c r="G1953" s="41"/>
      <c r="H1953" s="163"/>
      <c r="I1953" s="125"/>
      <c r="J1953" s="524"/>
      <c r="K1953" s="525"/>
      <c r="L1953" s="526"/>
      <c r="M1953" s="526"/>
      <c r="N1953" s="526"/>
      <c r="O1953" s="526"/>
      <c r="P1953" s="526"/>
      <c r="Q1953" s="526"/>
      <c r="R1953" s="526"/>
      <c r="S1953" s="526"/>
      <c r="T1953" s="526"/>
      <c r="U1953" s="526"/>
      <c r="V1953" s="526"/>
      <c r="W1953" s="526"/>
      <c r="X1953" s="526"/>
      <c r="Y1953" s="526"/>
      <c r="Z1953" s="526"/>
      <c r="AA1953" s="526"/>
      <c r="AB1953" s="526"/>
      <c r="AC1953" s="526"/>
      <c r="AD1953" s="526"/>
      <c r="AE1953" s="526"/>
      <c r="AF1953" s="526"/>
      <c r="AG1953" s="526"/>
      <c r="AH1953" s="526"/>
      <c r="AI1953" s="526"/>
      <c r="AJ1953" s="779"/>
    </row>
    <row r="1954" spans="1:36" ht="14">
      <c r="A1954" s="40"/>
      <c r="B1954" s="40"/>
      <c r="C1954" s="124"/>
      <c r="D1954" s="124"/>
      <c r="E1954" s="124"/>
      <c r="F1954" s="42"/>
      <c r="G1954" s="42"/>
      <c r="H1954" s="165"/>
      <c r="I1954" s="166" t="s">
        <v>37</v>
      </c>
      <c r="J1954" s="528"/>
      <c r="K1954" s="529">
        <f>SUM(K1949:K1953)</f>
        <v>17380000</v>
      </c>
      <c r="L1954" s="530">
        <f>SUM(L1949:L1953)</f>
        <v>0</v>
      </c>
      <c r="M1954" s="530">
        <f t="shared" ref="M1954:T1954" si="2297">SUM(M1949:M1953)</f>
        <v>115200000</v>
      </c>
      <c r="N1954" s="530">
        <f t="shared" si="2297"/>
        <v>0</v>
      </c>
      <c r="O1954" s="530">
        <f t="shared" si="2297"/>
        <v>0</v>
      </c>
      <c r="P1954" s="530">
        <f t="shared" si="2297"/>
        <v>0</v>
      </c>
      <c r="Q1954" s="530">
        <f t="shared" si="2297"/>
        <v>-24300000</v>
      </c>
      <c r="R1954" s="530">
        <f t="shared" si="2297"/>
        <v>0</v>
      </c>
      <c r="S1954" s="530">
        <f t="shared" si="2297"/>
        <v>90900000</v>
      </c>
      <c r="T1954" s="530">
        <f t="shared" si="2297"/>
        <v>90900000</v>
      </c>
      <c r="U1954" s="530"/>
      <c r="V1954" s="530"/>
      <c r="W1954" s="530"/>
      <c r="X1954" s="530"/>
      <c r="Y1954" s="530"/>
      <c r="Z1954" s="530">
        <f t="shared" ref="Z1954:AA1954" si="2298">SUM(Z1949:Z1953)</f>
        <v>0</v>
      </c>
      <c r="AA1954" s="530">
        <f t="shared" si="2298"/>
        <v>90900000</v>
      </c>
      <c r="AB1954" s="530"/>
      <c r="AC1954" s="530"/>
      <c r="AD1954" s="530"/>
      <c r="AE1954" s="530"/>
      <c r="AF1954" s="530"/>
      <c r="AG1954" s="530">
        <f t="shared" ref="AG1954:AI1954" si="2299">SUM(AG1949:AG1953)</f>
        <v>0</v>
      </c>
      <c r="AH1954" s="530">
        <f t="shared" si="2299"/>
        <v>90900000</v>
      </c>
      <c r="AI1954" s="530">
        <f t="shared" si="2299"/>
        <v>90900000</v>
      </c>
      <c r="AJ1954" s="776">
        <f>AI1954/AH1954*100</f>
        <v>100</v>
      </c>
    </row>
    <row r="1955" spans="1:36" ht="14">
      <c r="A1955" s="40"/>
      <c r="B1955" s="40"/>
      <c r="C1955" s="124"/>
      <c r="D1955" s="124"/>
      <c r="E1955" s="124"/>
      <c r="F1955" s="41"/>
      <c r="G1955" s="41"/>
      <c r="H1955" s="63"/>
      <c r="I1955" s="41"/>
      <c r="J1955" s="680"/>
      <c r="K1955" s="679"/>
      <c r="L1955" s="678"/>
      <c r="M1955" s="678"/>
      <c r="N1955" s="678"/>
      <c r="O1955" s="678"/>
      <c r="P1955" s="678"/>
      <c r="Q1955" s="678"/>
      <c r="R1955" s="678"/>
      <c r="S1955" s="678"/>
      <c r="T1955" s="678"/>
      <c r="U1955" s="678"/>
      <c r="V1955" s="678"/>
      <c r="W1955" s="678"/>
      <c r="X1955" s="678"/>
      <c r="Y1955" s="678"/>
      <c r="Z1955" s="678"/>
      <c r="AA1955" s="678"/>
      <c r="AB1955" s="702"/>
      <c r="AC1955" s="702"/>
      <c r="AD1955" s="702"/>
      <c r="AE1955" s="702"/>
      <c r="AF1955" s="702"/>
      <c r="AG1955" s="702"/>
      <c r="AH1955" s="702"/>
      <c r="AI1955" s="702"/>
      <c r="AJ1955" s="780"/>
    </row>
    <row r="1956" spans="1:36" ht="28" customHeight="1">
      <c r="A1956" s="40">
        <v>234</v>
      </c>
      <c r="B1956" s="40"/>
      <c r="C1956" s="124"/>
      <c r="D1956" s="124"/>
      <c r="E1956" s="124"/>
      <c r="F1956" s="942" t="s">
        <v>574</v>
      </c>
      <c r="G1956" s="935"/>
      <c r="H1956" s="935"/>
      <c r="I1956" s="936"/>
      <c r="J1956" s="452"/>
      <c r="K1956" s="453"/>
      <c r="L1956" s="454"/>
      <c r="M1956" s="454"/>
      <c r="N1956" s="454"/>
      <c r="O1956" s="454"/>
      <c r="P1956" s="454"/>
      <c r="Q1956" s="454"/>
      <c r="R1956" s="454"/>
      <c r="S1956" s="454"/>
      <c r="T1956" s="454"/>
      <c r="U1956" s="454"/>
      <c r="V1956" s="454"/>
      <c r="W1956" s="454"/>
      <c r="X1956" s="454"/>
      <c r="Y1956" s="454"/>
      <c r="Z1956" s="454"/>
      <c r="AA1956" s="454"/>
      <c r="AB1956" s="454"/>
      <c r="AC1956" s="454"/>
      <c r="AD1956" s="454"/>
      <c r="AE1956" s="454"/>
      <c r="AF1956" s="454"/>
      <c r="AG1956" s="454"/>
      <c r="AH1956" s="454"/>
      <c r="AI1956" s="454"/>
      <c r="AJ1956" s="769"/>
    </row>
    <row r="1957" spans="1:36" ht="14">
      <c r="A1957" s="40"/>
      <c r="B1957" s="40"/>
      <c r="C1957" s="124">
        <v>2</v>
      </c>
      <c r="D1957" s="124"/>
      <c r="E1957" s="124"/>
      <c r="F1957" s="41"/>
      <c r="G1957" s="41"/>
      <c r="H1957" s="162" t="s">
        <v>211</v>
      </c>
      <c r="I1957" s="125"/>
      <c r="J1957" s="524"/>
      <c r="K1957" s="525"/>
      <c r="L1957" s="526"/>
      <c r="M1957" s="526"/>
      <c r="N1957" s="526"/>
      <c r="O1957" s="526"/>
      <c r="P1957" s="526"/>
      <c r="Q1957" s="526"/>
      <c r="R1957" s="526"/>
      <c r="S1957" s="526"/>
      <c r="T1957" s="526"/>
      <c r="U1957" s="526"/>
      <c r="V1957" s="526"/>
      <c r="W1957" s="526"/>
      <c r="X1957" s="526"/>
      <c r="Y1957" s="526"/>
      <c r="Z1957" s="526"/>
      <c r="AA1957" s="526"/>
      <c r="AB1957" s="526"/>
      <c r="AC1957" s="526"/>
      <c r="AD1957" s="526"/>
      <c r="AE1957" s="526"/>
      <c r="AF1957" s="526"/>
      <c r="AG1957" s="526"/>
      <c r="AH1957" s="526"/>
      <c r="AI1957" s="526"/>
      <c r="AJ1957" s="779"/>
    </row>
    <row r="1958" spans="1:36" ht="14">
      <c r="A1958" s="40"/>
      <c r="B1958" s="40"/>
      <c r="C1958" s="124"/>
      <c r="D1958" s="124">
        <v>6</v>
      </c>
      <c r="E1958" s="124" t="s">
        <v>199</v>
      </c>
      <c r="F1958" s="41"/>
      <c r="G1958" s="41"/>
      <c r="H1958" s="163"/>
      <c r="I1958" s="125" t="s">
        <v>213</v>
      </c>
      <c r="J1958" s="524"/>
      <c r="K1958" s="525">
        <v>17380000</v>
      </c>
      <c r="L1958" s="454"/>
      <c r="M1958" s="454">
        <v>2160000</v>
      </c>
      <c r="N1958" s="454"/>
      <c r="O1958" s="454"/>
      <c r="P1958" s="454"/>
      <c r="Q1958" s="454">
        <v>-487600</v>
      </c>
      <c r="R1958" s="454"/>
      <c r="S1958" s="217">
        <f t="shared" ref="S1958" si="2300">SUM(M1958:R1958)</f>
        <v>1672400</v>
      </c>
      <c r="T1958" s="217">
        <f t="shared" ref="T1958" si="2301">S1958+L1958</f>
        <v>1672400</v>
      </c>
      <c r="U1958" s="454"/>
      <c r="V1958" s="454"/>
      <c r="W1958" s="454"/>
      <c r="X1958" s="454"/>
      <c r="Y1958" s="454"/>
      <c r="Z1958" s="217">
        <f>SUM(U1958:Y1958)</f>
        <v>0</v>
      </c>
      <c r="AA1958" s="217">
        <f>Z1958+T1958</f>
        <v>1672400</v>
      </c>
      <c r="AB1958" s="454"/>
      <c r="AC1958" s="454"/>
      <c r="AD1958" s="454"/>
      <c r="AE1958" s="454"/>
      <c r="AF1958" s="454"/>
      <c r="AG1958" s="217">
        <f t="shared" ref="AG1958:AG1959" si="2302">SUM(AB1958:AF1958)</f>
        <v>0</v>
      </c>
      <c r="AH1958" s="217">
        <f t="shared" ref="AH1958:AH1959" si="2303">AG1958+AA1958</f>
        <v>1672400</v>
      </c>
      <c r="AI1958" s="217">
        <v>1672400</v>
      </c>
      <c r="AJ1958" s="764">
        <f t="shared" ref="AJ1958:AJ1959" si="2304">AI1958/AH1958*100</f>
        <v>100</v>
      </c>
    </row>
    <row r="1959" spans="1:36" ht="14">
      <c r="A1959" s="160"/>
      <c r="B1959" s="160"/>
      <c r="C1959" s="161"/>
      <c r="D1959" s="161">
        <v>8</v>
      </c>
      <c r="E1959" s="161" t="s">
        <v>199</v>
      </c>
      <c r="F1959" s="41"/>
      <c r="G1959" s="41"/>
      <c r="H1959" s="163"/>
      <c r="I1959" s="125" t="s">
        <v>212</v>
      </c>
      <c r="J1959" s="526"/>
      <c r="K1959" s="576"/>
      <c r="L1959" s="454"/>
      <c r="M1959" s="454"/>
      <c r="N1959" s="454"/>
      <c r="O1959" s="454"/>
      <c r="P1959" s="454"/>
      <c r="Q1959" s="454">
        <v>648000</v>
      </c>
      <c r="R1959" s="454"/>
      <c r="S1959" s="217">
        <f t="shared" ref="S1959" si="2305">SUM(M1959:R1959)</f>
        <v>648000</v>
      </c>
      <c r="T1959" s="217">
        <f t="shared" ref="T1959" si="2306">S1959+L1959</f>
        <v>648000</v>
      </c>
      <c r="U1959" s="454"/>
      <c r="V1959" s="454"/>
      <c r="W1959" s="454"/>
      <c r="X1959" s="454"/>
      <c r="Y1959" s="454"/>
      <c r="Z1959" s="217">
        <f>SUM(U1959:Y1959)</f>
        <v>0</v>
      </c>
      <c r="AA1959" s="217">
        <f>Z1959+T1959</f>
        <v>648000</v>
      </c>
      <c r="AB1959" s="454"/>
      <c r="AC1959" s="454"/>
      <c r="AD1959" s="454"/>
      <c r="AE1959" s="454"/>
      <c r="AF1959" s="454"/>
      <c r="AG1959" s="217">
        <f t="shared" si="2302"/>
        <v>0</v>
      </c>
      <c r="AH1959" s="217">
        <f t="shared" si="2303"/>
        <v>648000</v>
      </c>
      <c r="AI1959" s="217">
        <v>648000</v>
      </c>
      <c r="AJ1959" s="764">
        <f t="shared" si="2304"/>
        <v>100</v>
      </c>
    </row>
    <row r="1960" spans="1:36" ht="14">
      <c r="A1960" s="40"/>
      <c r="B1960" s="40"/>
      <c r="C1960" s="124"/>
      <c r="D1960" s="124"/>
      <c r="E1960" s="124"/>
      <c r="F1960" s="41"/>
      <c r="G1960" s="41"/>
      <c r="H1960" s="163"/>
      <c r="I1960" s="125"/>
      <c r="J1960" s="524"/>
      <c r="K1960" s="525"/>
      <c r="L1960" s="526"/>
      <c r="M1960" s="526"/>
      <c r="N1960" s="526"/>
      <c r="O1960" s="526"/>
      <c r="P1960" s="526"/>
      <c r="Q1960" s="526"/>
      <c r="R1960" s="526"/>
      <c r="S1960" s="526"/>
      <c r="T1960" s="526"/>
      <c r="U1960" s="526"/>
      <c r="V1960" s="526"/>
      <c r="W1960" s="526"/>
      <c r="X1960" s="526"/>
      <c r="Y1960" s="526"/>
      <c r="Z1960" s="526"/>
      <c r="AA1960" s="526"/>
      <c r="AB1960" s="526"/>
      <c r="AC1960" s="526"/>
      <c r="AD1960" s="526"/>
      <c r="AE1960" s="526"/>
      <c r="AF1960" s="526"/>
      <c r="AG1960" s="526"/>
      <c r="AH1960" s="526"/>
      <c r="AI1960" s="526"/>
      <c r="AJ1960" s="779"/>
    </row>
    <row r="1961" spans="1:36" ht="14">
      <c r="A1961" s="40"/>
      <c r="B1961" s="40"/>
      <c r="C1961" s="124"/>
      <c r="D1961" s="124"/>
      <c r="E1961" s="124"/>
      <c r="F1961" s="42"/>
      <c r="G1961" s="42"/>
      <c r="H1961" s="165"/>
      <c r="I1961" s="166" t="s">
        <v>37</v>
      </c>
      <c r="J1961" s="528"/>
      <c r="K1961" s="529">
        <f>SUM(K1955:K1960)</f>
        <v>17380000</v>
      </c>
      <c r="L1961" s="530">
        <f>SUM(L1955:L1960)</f>
        <v>0</v>
      </c>
      <c r="M1961" s="530">
        <f t="shared" ref="M1961:T1961" si="2307">SUM(M1955:M1960)</f>
        <v>2160000</v>
      </c>
      <c r="N1961" s="530">
        <f t="shared" si="2307"/>
        <v>0</v>
      </c>
      <c r="O1961" s="530">
        <f t="shared" si="2307"/>
        <v>0</v>
      </c>
      <c r="P1961" s="530">
        <f t="shared" si="2307"/>
        <v>0</v>
      </c>
      <c r="Q1961" s="530">
        <f t="shared" si="2307"/>
        <v>160400</v>
      </c>
      <c r="R1961" s="530">
        <f t="shared" si="2307"/>
        <v>0</v>
      </c>
      <c r="S1961" s="530">
        <f t="shared" si="2307"/>
        <v>2320400</v>
      </c>
      <c r="T1961" s="530">
        <f t="shared" si="2307"/>
        <v>2320400</v>
      </c>
      <c r="U1961" s="530"/>
      <c r="V1961" s="530"/>
      <c r="W1961" s="530"/>
      <c r="X1961" s="530"/>
      <c r="Y1961" s="530"/>
      <c r="Z1961" s="530">
        <f t="shared" ref="Z1961:AA1961" si="2308">SUM(Z1955:Z1960)</f>
        <v>0</v>
      </c>
      <c r="AA1961" s="530">
        <f t="shared" si="2308"/>
        <v>2320400</v>
      </c>
      <c r="AB1961" s="530"/>
      <c r="AC1961" s="530"/>
      <c r="AD1961" s="530"/>
      <c r="AE1961" s="530"/>
      <c r="AF1961" s="530"/>
      <c r="AG1961" s="530">
        <f t="shared" ref="AG1961:AI1961" si="2309">SUM(AG1955:AG1960)</f>
        <v>0</v>
      </c>
      <c r="AH1961" s="530">
        <f t="shared" si="2309"/>
        <v>2320400</v>
      </c>
      <c r="AI1961" s="530">
        <f t="shared" si="2309"/>
        <v>2320400</v>
      </c>
      <c r="AJ1961" s="776">
        <f>AI1961/AH1961*100</f>
        <v>100</v>
      </c>
    </row>
    <row r="1962" spans="1:36" ht="14">
      <c r="A1962" s="160"/>
      <c r="B1962" s="160"/>
      <c r="C1962" s="161"/>
      <c r="D1962" s="161"/>
      <c r="E1962" s="161"/>
      <c r="F1962" s="41"/>
      <c r="G1962" s="41"/>
      <c r="H1962" s="63"/>
      <c r="I1962" s="41"/>
      <c r="J1962" s="678"/>
      <c r="K1962" s="577"/>
      <c r="L1962" s="678"/>
      <c r="M1962" s="678"/>
      <c r="N1962" s="678"/>
      <c r="O1962" s="678"/>
      <c r="P1962" s="678"/>
      <c r="Q1962" s="678"/>
      <c r="R1962" s="678"/>
      <c r="S1962" s="678"/>
      <c r="T1962" s="678"/>
      <c r="U1962" s="678"/>
      <c r="V1962" s="678"/>
      <c r="W1962" s="678"/>
      <c r="X1962" s="678"/>
      <c r="Y1962" s="678"/>
      <c r="Z1962" s="678"/>
      <c r="AA1962" s="678"/>
      <c r="AB1962" s="702"/>
      <c r="AC1962" s="702"/>
      <c r="AD1962" s="702"/>
      <c r="AE1962" s="702"/>
      <c r="AF1962" s="702"/>
      <c r="AG1962" s="702"/>
      <c r="AH1962" s="702"/>
      <c r="AI1962" s="702"/>
      <c r="AJ1962" s="780"/>
    </row>
    <row r="1963" spans="1:36" ht="14">
      <c r="A1963" s="160">
        <v>235</v>
      </c>
      <c r="B1963" s="160"/>
      <c r="C1963" s="161"/>
      <c r="D1963" s="161"/>
      <c r="E1963" s="161"/>
      <c r="F1963" s="41" t="s">
        <v>610</v>
      </c>
      <c r="G1963" s="41"/>
      <c r="H1963" s="63"/>
      <c r="I1963" s="41"/>
      <c r="J1963" s="678"/>
      <c r="K1963" s="577"/>
      <c r="L1963" s="678"/>
      <c r="M1963" s="678"/>
      <c r="N1963" s="678"/>
      <c r="O1963" s="678"/>
      <c r="P1963" s="678"/>
      <c r="Q1963" s="678"/>
      <c r="R1963" s="678"/>
      <c r="S1963" s="678"/>
      <c r="T1963" s="678"/>
      <c r="U1963" s="678"/>
      <c r="V1963" s="678"/>
      <c r="W1963" s="678"/>
      <c r="X1963" s="678"/>
      <c r="Y1963" s="678"/>
      <c r="Z1963" s="678"/>
      <c r="AA1963" s="678"/>
      <c r="AB1963" s="702"/>
      <c r="AC1963" s="702"/>
      <c r="AD1963" s="702"/>
      <c r="AE1963" s="702"/>
      <c r="AF1963" s="702"/>
      <c r="AG1963" s="702"/>
      <c r="AH1963" s="702"/>
      <c r="AI1963" s="702"/>
      <c r="AJ1963" s="780"/>
    </row>
    <row r="1964" spans="1:36" ht="14">
      <c r="A1964" s="160"/>
      <c r="B1964" s="160"/>
      <c r="C1964" s="124">
        <v>2</v>
      </c>
      <c r="D1964" s="124"/>
      <c r="E1964" s="124"/>
      <c r="F1964" s="41"/>
      <c r="G1964" s="41"/>
      <c r="H1964" s="162" t="s">
        <v>211</v>
      </c>
      <c r="I1964" s="125"/>
      <c r="J1964" s="678"/>
      <c r="K1964" s="577"/>
      <c r="L1964" s="678"/>
      <c r="M1964" s="678"/>
      <c r="N1964" s="678"/>
      <c r="O1964" s="678"/>
      <c r="P1964" s="678"/>
      <c r="Q1964" s="678"/>
      <c r="R1964" s="678"/>
      <c r="S1964" s="678"/>
      <c r="T1964" s="678"/>
      <c r="U1964" s="678"/>
      <c r="V1964" s="678"/>
      <c r="W1964" s="678"/>
      <c r="X1964" s="678"/>
      <c r="Y1964" s="678"/>
      <c r="Z1964" s="678"/>
      <c r="AA1964" s="678"/>
      <c r="AB1964" s="702"/>
      <c r="AC1964" s="702"/>
      <c r="AD1964" s="702"/>
      <c r="AE1964" s="702"/>
      <c r="AF1964" s="702"/>
      <c r="AG1964" s="702"/>
      <c r="AH1964" s="702"/>
      <c r="AI1964" s="702"/>
      <c r="AJ1964" s="780"/>
    </row>
    <row r="1965" spans="1:36" ht="14">
      <c r="A1965" s="161"/>
      <c r="B1965" s="161"/>
      <c r="C1965" s="124"/>
      <c r="D1965" s="124">
        <v>6</v>
      </c>
      <c r="E1965" s="124" t="s">
        <v>199</v>
      </c>
      <c r="F1965" s="66"/>
      <c r="G1965" s="66"/>
      <c r="H1965" s="163"/>
      <c r="I1965" s="125" t="s">
        <v>213</v>
      </c>
      <c r="J1965" s="526"/>
      <c r="K1965" s="576"/>
      <c r="L1965" s="526"/>
      <c r="M1965" s="526"/>
      <c r="N1965" s="526"/>
      <c r="O1965" s="526"/>
      <c r="P1965" s="526"/>
      <c r="Q1965" s="526">
        <v>2000000</v>
      </c>
      <c r="R1965" s="526"/>
      <c r="S1965" s="217">
        <f t="shared" ref="S1965" si="2310">SUM(M1965:R1965)</f>
        <v>2000000</v>
      </c>
      <c r="T1965" s="217">
        <f t="shared" ref="T1965" si="2311">S1965+L1965</f>
        <v>2000000</v>
      </c>
      <c r="U1965" s="526"/>
      <c r="V1965" s="526"/>
      <c r="W1965" s="526"/>
      <c r="X1965" s="526">
        <v>793086</v>
      </c>
      <c r="Y1965" s="526"/>
      <c r="Z1965" s="217">
        <f>SUM(U1965:Y1965)</f>
        <v>793086</v>
      </c>
      <c r="AA1965" s="217">
        <f>Z1965+T1965</f>
        <v>2793086</v>
      </c>
      <c r="AB1965" s="526"/>
      <c r="AC1965" s="526"/>
      <c r="AD1965" s="526"/>
      <c r="AE1965" s="526">
        <v>142000</v>
      </c>
      <c r="AF1965" s="526"/>
      <c r="AG1965" s="217">
        <f t="shared" ref="AG1965" si="2312">SUM(AB1965:AF1965)</f>
        <v>142000</v>
      </c>
      <c r="AH1965" s="217">
        <f t="shared" ref="AH1965" si="2313">AG1965+AA1965</f>
        <v>2935086</v>
      </c>
      <c r="AI1965" s="217">
        <v>2934736</v>
      </c>
      <c r="AJ1965" s="764">
        <f t="shared" ref="AJ1965" si="2314">AI1965/AH1965*100</f>
        <v>99.988075306822353</v>
      </c>
    </row>
    <row r="1966" spans="1:36" ht="14">
      <c r="A1966" s="160"/>
      <c r="B1966" s="160"/>
      <c r="C1966" s="161"/>
      <c r="D1966" s="161"/>
      <c r="E1966" s="161"/>
      <c r="F1966" s="41"/>
      <c r="G1966" s="41"/>
      <c r="H1966" s="63"/>
      <c r="I1966" s="41"/>
      <c r="J1966" s="678"/>
      <c r="K1966" s="577"/>
      <c r="L1966" s="678"/>
      <c r="M1966" s="678"/>
      <c r="N1966" s="678"/>
      <c r="O1966" s="678"/>
      <c r="P1966" s="678"/>
      <c r="Q1966" s="678"/>
      <c r="R1966" s="678"/>
      <c r="S1966" s="678"/>
      <c r="T1966" s="678"/>
      <c r="U1966" s="678"/>
      <c r="V1966" s="678"/>
      <c r="W1966" s="678"/>
      <c r="X1966" s="678"/>
      <c r="Y1966" s="678"/>
      <c r="Z1966" s="678"/>
      <c r="AA1966" s="678"/>
      <c r="AB1966" s="702"/>
      <c r="AC1966" s="702"/>
      <c r="AD1966" s="702"/>
      <c r="AE1966" s="702"/>
      <c r="AF1966" s="702"/>
      <c r="AG1966" s="702"/>
      <c r="AH1966" s="702"/>
      <c r="AI1966" s="702"/>
      <c r="AJ1966" s="780"/>
    </row>
    <row r="1967" spans="1:36" ht="14">
      <c r="A1967" s="40"/>
      <c r="B1967" s="40"/>
      <c r="C1967" s="124"/>
      <c r="D1967" s="124"/>
      <c r="E1967" s="124"/>
      <c r="F1967" s="42"/>
      <c r="G1967" s="42"/>
      <c r="H1967" s="165"/>
      <c r="I1967" s="166" t="s">
        <v>37</v>
      </c>
      <c r="J1967" s="528"/>
      <c r="K1967" s="529">
        <f>SUM(K1961:K1966)</f>
        <v>17380000</v>
      </c>
      <c r="L1967" s="530">
        <f>SUM(L1965)</f>
        <v>0</v>
      </c>
      <c r="M1967" s="530">
        <f t="shared" ref="M1967:T1967" si="2315">SUM(M1965)</f>
        <v>0</v>
      </c>
      <c r="N1967" s="530">
        <f t="shared" si="2315"/>
        <v>0</v>
      </c>
      <c r="O1967" s="530">
        <f t="shared" si="2315"/>
        <v>0</v>
      </c>
      <c r="P1967" s="530">
        <f t="shared" si="2315"/>
        <v>0</v>
      </c>
      <c r="Q1967" s="530">
        <f t="shared" si="2315"/>
        <v>2000000</v>
      </c>
      <c r="R1967" s="530">
        <f t="shared" si="2315"/>
        <v>0</v>
      </c>
      <c r="S1967" s="530">
        <f t="shared" si="2315"/>
        <v>2000000</v>
      </c>
      <c r="T1967" s="530">
        <f t="shared" si="2315"/>
        <v>2000000</v>
      </c>
      <c r="U1967" s="530"/>
      <c r="V1967" s="530"/>
      <c r="W1967" s="530"/>
      <c r="X1967" s="530">
        <f t="shared" ref="X1967" si="2316">SUM(X1965)</f>
        <v>793086</v>
      </c>
      <c r="Y1967" s="530"/>
      <c r="Z1967" s="530">
        <f t="shared" ref="Z1967:AA1967" si="2317">SUM(Z1965)</f>
        <v>793086</v>
      </c>
      <c r="AA1967" s="530">
        <f t="shared" si="2317"/>
        <v>2793086</v>
      </c>
      <c r="AB1967" s="530"/>
      <c r="AC1967" s="530"/>
      <c r="AD1967" s="530"/>
      <c r="AE1967" s="530">
        <f t="shared" ref="AE1967" si="2318">SUM(AE1965)</f>
        <v>142000</v>
      </c>
      <c r="AF1967" s="530"/>
      <c r="AG1967" s="530">
        <f t="shared" ref="AG1967:AI1967" si="2319">SUM(AG1965)</f>
        <v>142000</v>
      </c>
      <c r="AH1967" s="530">
        <f t="shared" si="2319"/>
        <v>2935086</v>
      </c>
      <c r="AI1967" s="530">
        <f t="shared" si="2319"/>
        <v>2934736</v>
      </c>
      <c r="AJ1967" s="776">
        <f>AI1967/AH1967*100</f>
        <v>99.988075306822353</v>
      </c>
    </row>
    <row r="1968" spans="1:36" ht="14">
      <c r="A1968" s="160"/>
      <c r="B1968" s="160"/>
      <c r="C1968" s="161"/>
      <c r="D1968" s="161"/>
      <c r="E1968" s="161"/>
      <c r="F1968" s="41"/>
      <c r="G1968" s="41"/>
      <c r="H1968" s="63"/>
      <c r="I1968" s="41"/>
      <c r="J1968" s="678"/>
      <c r="K1968" s="577"/>
      <c r="L1968" s="678"/>
      <c r="M1968" s="678"/>
      <c r="N1968" s="678"/>
      <c r="O1968" s="678"/>
      <c r="P1968" s="678"/>
      <c r="Q1968" s="678"/>
      <c r="R1968" s="678"/>
      <c r="S1968" s="678"/>
      <c r="T1968" s="678"/>
      <c r="U1968" s="678"/>
      <c r="V1968" s="678"/>
      <c r="W1968" s="678"/>
      <c r="X1968" s="678"/>
      <c r="Y1968" s="678"/>
      <c r="Z1968" s="678"/>
      <c r="AA1968" s="678"/>
      <c r="AB1968" s="702"/>
      <c r="AC1968" s="702"/>
      <c r="AD1968" s="702"/>
      <c r="AE1968" s="702"/>
      <c r="AF1968" s="702"/>
      <c r="AG1968" s="702"/>
      <c r="AH1968" s="702"/>
      <c r="AI1968" s="702"/>
      <c r="AJ1968" s="780"/>
    </row>
    <row r="1969" spans="1:36" ht="14">
      <c r="A1969" s="160">
        <v>236</v>
      </c>
      <c r="B1969" s="160"/>
      <c r="C1969" s="161"/>
      <c r="D1969" s="161"/>
      <c r="E1969" s="161"/>
      <c r="F1969" s="41" t="s">
        <v>658</v>
      </c>
      <c r="G1969" s="41"/>
      <c r="H1969" s="63"/>
      <c r="I1969" s="41"/>
      <c r="J1969" s="678"/>
      <c r="K1969" s="577"/>
      <c r="L1969" s="678"/>
      <c r="M1969" s="678"/>
      <c r="N1969" s="678"/>
      <c r="O1969" s="678"/>
      <c r="P1969" s="678"/>
      <c r="Q1969" s="678"/>
      <c r="R1969" s="678"/>
      <c r="S1969" s="678"/>
      <c r="T1969" s="678"/>
      <c r="U1969" s="678"/>
      <c r="V1969" s="678"/>
      <c r="W1969" s="678"/>
      <c r="X1969" s="678"/>
      <c r="Y1969" s="678"/>
      <c r="Z1969" s="678"/>
      <c r="AA1969" s="678"/>
      <c r="AB1969" s="702"/>
      <c r="AC1969" s="702"/>
      <c r="AD1969" s="702"/>
      <c r="AE1969" s="702"/>
      <c r="AF1969" s="702"/>
      <c r="AG1969" s="702"/>
      <c r="AH1969" s="702"/>
      <c r="AI1969" s="702"/>
      <c r="AJ1969" s="780"/>
    </row>
    <row r="1970" spans="1:36" ht="14">
      <c r="A1970" s="160"/>
      <c r="B1970" s="160"/>
      <c r="C1970" s="124">
        <v>2</v>
      </c>
      <c r="D1970" s="124"/>
      <c r="E1970" s="124"/>
      <c r="F1970" s="41"/>
      <c r="G1970" s="41"/>
      <c r="H1970" s="162" t="s">
        <v>211</v>
      </c>
      <c r="I1970" s="125"/>
      <c r="J1970" s="678"/>
      <c r="K1970" s="577"/>
      <c r="L1970" s="678"/>
      <c r="M1970" s="678"/>
      <c r="N1970" s="678"/>
      <c r="O1970" s="678"/>
      <c r="P1970" s="678"/>
      <c r="Q1970" s="678"/>
      <c r="R1970" s="678"/>
      <c r="S1970" s="678"/>
      <c r="T1970" s="678"/>
      <c r="U1970" s="678"/>
      <c r="V1970" s="678"/>
      <c r="W1970" s="678"/>
      <c r="X1970" s="678"/>
      <c r="Y1970" s="678"/>
      <c r="Z1970" s="678"/>
      <c r="AA1970" s="678"/>
      <c r="AB1970" s="702"/>
      <c r="AC1970" s="702"/>
      <c r="AD1970" s="702"/>
      <c r="AE1970" s="702"/>
      <c r="AF1970" s="702"/>
      <c r="AG1970" s="702"/>
      <c r="AH1970" s="702"/>
      <c r="AI1970" s="702"/>
      <c r="AJ1970" s="780"/>
    </row>
    <row r="1971" spans="1:36" ht="14">
      <c r="A1971" s="161"/>
      <c r="B1971" s="161"/>
      <c r="C1971" s="124"/>
      <c r="D1971" s="124">
        <v>6</v>
      </c>
      <c r="E1971" s="124" t="s">
        <v>199</v>
      </c>
      <c r="F1971" s="66"/>
      <c r="G1971" s="66"/>
      <c r="H1971" s="163"/>
      <c r="I1971" s="125" t="s">
        <v>213</v>
      </c>
      <c r="J1971" s="526"/>
      <c r="K1971" s="576"/>
      <c r="L1971" s="526"/>
      <c r="M1971" s="526"/>
      <c r="N1971" s="526"/>
      <c r="O1971" s="526"/>
      <c r="P1971" s="526"/>
      <c r="Q1971" s="526">
        <v>2000000</v>
      </c>
      <c r="R1971" s="526"/>
      <c r="S1971" s="217">
        <f t="shared" ref="S1971" si="2320">SUM(M1971:R1971)</f>
        <v>2000000</v>
      </c>
      <c r="T1971" s="217"/>
      <c r="U1971" s="526"/>
      <c r="V1971" s="526"/>
      <c r="W1971" s="526">
        <v>5515638</v>
      </c>
      <c r="X1971" s="526"/>
      <c r="Y1971" s="526"/>
      <c r="Z1971" s="217">
        <f>SUM(U1971:Y1971)</f>
        <v>5515638</v>
      </c>
      <c r="AA1971" s="217">
        <f>Z1971+T1971</f>
        <v>5515638</v>
      </c>
      <c r="AB1971" s="526"/>
      <c r="AC1971" s="526"/>
      <c r="AD1971" s="526"/>
      <c r="AE1971" s="526"/>
      <c r="AF1971" s="526"/>
      <c r="AG1971" s="217">
        <f t="shared" ref="AG1971" si="2321">SUM(AB1971:AF1971)</f>
        <v>0</v>
      </c>
      <c r="AH1971" s="217">
        <f t="shared" ref="AH1971" si="2322">AG1971+AA1971</f>
        <v>5515638</v>
      </c>
      <c r="AI1971" s="217">
        <v>1686190</v>
      </c>
      <c r="AJ1971" s="764">
        <f t="shared" ref="AJ1971" si="2323">AI1971/AH1971*100</f>
        <v>30.571078087430681</v>
      </c>
    </row>
    <row r="1972" spans="1:36" ht="14">
      <c r="A1972" s="160"/>
      <c r="B1972" s="160"/>
      <c r="C1972" s="161"/>
      <c r="D1972" s="161"/>
      <c r="E1972" s="161"/>
      <c r="F1972" s="41"/>
      <c r="G1972" s="41"/>
      <c r="H1972" s="63"/>
      <c r="I1972" s="41"/>
      <c r="J1972" s="678"/>
      <c r="K1972" s="577"/>
      <c r="L1972" s="678"/>
      <c r="M1972" s="678"/>
      <c r="N1972" s="678"/>
      <c r="O1972" s="678"/>
      <c r="P1972" s="678"/>
      <c r="Q1972" s="678"/>
      <c r="R1972" s="678"/>
      <c r="S1972" s="678"/>
      <c r="T1972" s="678"/>
      <c r="U1972" s="678"/>
      <c r="V1972" s="678"/>
      <c r="W1972" s="678"/>
      <c r="X1972" s="678"/>
      <c r="Y1972" s="678"/>
      <c r="Z1972" s="678"/>
      <c r="AA1972" s="678"/>
      <c r="AB1972" s="702"/>
      <c r="AC1972" s="702"/>
      <c r="AD1972" s="702"/>
      <c r="AE1972" s="702"/>
      <c r="AF1972" s="702"/>
      <c r="AG1972" s="702"/>
      <c r="AH1972" s="702"/>
      <c r="AI1972" s="702"/>
      <c r="AJ1972" s="780"/>
    </row>
    <row r="1973" spans="1:36" ht="14">
      <c r="A1973" s="40"/>
      <c r="B1973" s="40"/>
      <c r="C1973" s="124"/>
      <c r="D1973" s="124"/>
      <c r="E1973" s="124"/>
      <c r="F1973" s="42"/>
      <c r="G1973" s="42"/>
      <c r="H1973" s="165"/>
      <c r="I1973" s="166" t="s">
        <v>37</v>
      </c>
      <c r="J1973" s="528"/>
      <c r="K1973" s="529">
        <f>SUM(K1967:K1972)</f>
        <v>17380000</v>
      </c>
      <c r="L1973" s="530">
        <f>SUM(L1971)</f>
        <v>0</v>
      </c>
      <c r="M1973" s="530">
        <f t="shared" ref="M1973:T1973" si="2324">SUM(M1971)</f>
        <v>0</v>
      </c>
      <c r="N1973" s="530">
        <f t="shared" si="2324"/>
        <v>0</v>
      </c>
      <c r="O1973" s="530">
        <f t="shared" si="2324"/>
        <v>0</v>
      </c>
      <c r="P1973" s="530">
        <f t="shared" si="2324"/>
        <v>0</v>
      </c>
      <c r="Q1973" s="530">
        <f t="shared" si="2324"/>
        <v>2000000</v>
      </c>
      <c r="R1973" s="530">
        <f t="shared" si="2324"/>
        <v>0</v>
      </c>
      <c r="S1973" s="530">
        <f t="shared" si="2324"/>
        <v>2000000</v>
      </c>
      <c r="T1973" s="530">
        <f t="shared" si="2324"/>
        <v>0</v>
      </c>
      <c r="U1973" s="530"/>
      <c r="V1973" s="530"/>
      <c r="W1973" s="530">
        <f t="shared" ref="W1973" si="2325">SUM(W1971)</f>
        <v>5515638</v>
      </c>
      <c r="X1973" s="530"/>
      <c r="Y1973" s="530"/>
      <c r="Z1973" s="530">
        <f t="shared" ref="Z1973:AA1973" si="2326">SUM(Z1971)</f>
        <v>5515638</v>
      </c>
      <c r="AA1973" s="530">
        <f t="shared" si="2326"/>
        <v>5515638</v>
      </c>
      <c r="AB1973" s="530"/>
      <c r="AC1973" s="530"/>
      <c r="AD1973" s="530">
        <f t="shared" ref="AD1973" si="2327">SUM(AD1971)</f>
        <v>0</v>
      </c>
      <c r="AE1973" s="530"/>
      <c r="AF1973" s="530"/>
      <c r="AG1973" s="530">
        <f t="shared" ref="AG1973:AH1973" si="2328">SUM(AG1971)</f>
        <v>0</v>
      </c>
      <c r="AH1973" s="530">
        <f t="shared" si="2328"/>
        <v>5515638</v>
      </c>
      <c r="AI1973" s="530">
        <f t="shared" ref="AI1973" si="2329">SUM(AI1971)</f>
        <v>1686190</v>
      </c>
      <c r="AJ1973" s="776">
        <f>AI1973/AH1973*100</f>
        <v>30.571078087430681</v>
      </c>
    </row>
    <row r="1974" spans="1:36" ht="14">
      <c r="A1974" s="160"/>
      <c r="B1974" s="160"/>
      <c r="C1974" s="161"/>
      <c r="D1974" s="161"/>
      <c r="E1974" s="161"/>
      <c r="F1974" s="41"/>
      <c r="G1974" s="41"/>
      <c r="H1974" s="63"/>
      <c r="I1974" s="41"/>
      <c r="J1974" s="717"/>
      <c r="K1974" s="577"/>
      <c r="L1974" s="717"/>
      <c r="M1974" s="717"/>
      <c r="N1974" s="717"/>
      <c r="O1974" s="717"/>
      <c r="P1974" s="717"/>
      <c r="Q1974" s="717"/>
      <c r="R1974" s="717"/>
      <c r="S1974" s="717"/>
      <c r="T1974" s="717"/>
      <c r="U1974" s="717"/>
      <c r="V1974" s="717"/>
      <c r="W1974" s="717"/>
      <c r="X1974" s="717"/>
      <c r="Y1974" s="717"/>
      <c r="Z1974" s="717"/>
      <c r="AA1974" s="717"/>
      <c r="AB1974" s="717"/>
      <c r="AC1974" s="717"/>
      <c r="AD1974" s="717"/>
      <c r="AE1974" s="717"/>
      <c r="AF1974" s="717"/>
      <c r="AG1974" s="717"/>
      <c r="AH1974" s="717"/>
      <c r="AI1974" s="717"/>
      <c r="AJ1974" s="777"/>
    </row>
    <row r="1975" spans="1:36" ht="28" customHeight="1">
      <c r="A1975" s="160">
        <v>237</v>
      </c>
      <c r="B1975" s="160"/>
      <c r="C1975" s="161"/>
      <c r="D1975" s="161"/>
      <c r="E1975" s="161"/>
      <c r="F1975" s="976" t="s">
        <v>705</v>
      </c>
      <c r="G1975" s="935"/>
      <c r="H1975" s="935"/>
      <c r="I1975" s="977"/>
      <c r="J1975" s="717"/>
      <c r="K1975" s="577"/>
      <c r="L1975" s="717"/>
      <c r="M1975" s="717"/>
      <c r="N1975" s="717"/>
      <c r="O1975" s="717"/>
      <c r="P1975" s="717"/>
      <c r="Q1975" s="717"/>
      <c r="R1975" s="717"/>
      <c r="S1975" s="717"/>
      <c r="T1975" s="717"/>
      <c r="U1975" s="717"/>
      <c r="V1975" s="717"/>
      <c r="W1975" s="717"/>
      <c r="X1975" s="717"/>
      <c r="Y1975" s="717"/>
      <c r="Z1975" s="717"/>
      <c r="AA1975" s="717"/>
      <c r="AB1975" s="717"/>
      <c r="AC1975" s="717"/>
      <c r="AD1975" s="717"/>
      <c r="AE1975" s="717"/>
      <c r="AF1975" s="717"/>
      <c r="AG1975" s="717"/>
      <c r="AH1975" s="717"/>
      <c r="AI1975" s="717"/>
      <c r="AJ1975" s="780"/>
    </row>
    <row r="1976" spans="1:36" ht="14">
      <c r="A1976" s="160"/>
      <c r="B1976" s="160">
        <v>1</v>
      </c>
      <c r="C1976" s="161"/>
      <c r="D1976" s="161"/>
      <c r="E1976" s="161"/>
      <c r="F1976" s="41"/>
      <c r="G1976" s="41" t="s">
        <v>706</v>
      </c>
      <c r="H1976" s="63"/>
      <c r="I1976" s="41"/>
      <c r="J1976" s="717"/>
      <c r="K1976" s="577"/>
      <c r="L1976" s="717"/>
      <c r="M1976" s="717"/>
      <c r="N1976" s="717"/>
      <c r="O1976" s="717"/>
      <c r="P1976" s="717"/>
      <c r="Q1976" s="717"/>
      <c r="R1976" s="717"/>
      <c r="S1976" s="717"/>
      <c r="T1976" s="717"/>
      <c r="U1976" s="717"/>
      <c r="V1976" s="717"/>
      <c r="W1976" s="717"/>
      <c r="X1976" s="717"/>
      <c r="Y1976" s="717"/>
      <c r="Z1976" s="717"/>
      <c r="AA1976" s="717"/>
      <c r="AB1976" s="717"/>
      <c r="AC1976" s="717"/>
      <c r="AD1976" s="717"/>
      <c r="AE1976" s="717"/>
      <c r="AF1976" s="717"/>
      <c r="AG1976" s="717"/>
      <c r="AH1976" s="717"/>
      <c r="AI1976" s="717"/>
      <c r="AJ1976" s="780"/>
    </row>
    <row r="1977" spans="1:36" ht="14">
      <c r="A1977" s="160"/>
      <c r="B1977" s="160"/>
      <c r="C1977" s="124">
        <v>2</v>
      </c>
      <c r="D1977" s="124"/>
      <c r="E1977" s="124"/>
      <c r="F1977" s="41"/>
      <c r="G1977" s="41"/>
      <c r="H1977" s="162" t="s">
        <v>211</v>
      </c>
      <c r="I1977" s="125"/>
      <c r="J1977" s="717"/>
      <c r="K1977" s="577"/>
      <c r="L1977" s="717"/>
      <c r="M1977" s="717"/>
      <c r="N1977" s="717"/>
      <c r="O1977" s="717"/>
      <c r="P1977" s="717"/>
      <c r="Q1977" s="717"/>
      <c r="R1977" s="717"/>
      <c r="S1977" s="717"/>
      <c r="T1977" s="717"/>
      <c r="U1977" s="717"/>
      <c r="V1977" s="717"/>
      <c r="W1977" s="717"/>
      <c r="X1977" s="717"/>
      <c r="Y1977" s="717"/>
      <c r="Z1977" s="717"/>
      <c r="AA1977" s="717"/>
      <c r="AB1977" s="717"/>
      <c r="AC1977" s="717"/>
      <c r="AD1977" s="717"/>
      <c r="AE1977" s="717"/>
      <c r="AF1977" s="717"/>
      <c r="AG1977" s="717"/>
      <c r="AH1977" s="717"/>
      <c r="AI1977" s="717"/>
      <c r="AJ1977" s="780"/>
    </row>
    <row r="1978" spans="1:36" ht="14">
      <c r="A1978" s="161"/>
      <c r="B1978" s="161"/>
      <c r="C1978" s="124"/>
      <c r="D1978" s="124">
        <v>6</v>
      </c>
      <c r="E1978" s="124" t="s">
        <v>199</v>
      </c>
      <c r="F1978" s="66"/>
      <c r="G1978" s="66"/>
      <c r="H1978" s="163"/>
      <c r="I1978" s="125" t="s">
        <v>213</v>
      </c>
      <c r="J1978" s="526"/>
      <c r="K1978" s="576"/>
      <c r="L1978" s="526"/>
      <c r="M1978" s="526"/>
      <c r="N1978" s="526"/>
      <c r="O1978" s="526"/>
      <c r="P1978" s="526"/>
      <c r="Q1978" s="526">
        <v>2000000</v>
      </c>
      <c r="R1978" s="526"/>
      <c r="S1978" s="217">
        <f t="shared" ref="S1978" si="2330">SUM(M1978:R1978)</f>
        <v>2000000</v>
      </c>
      <c r="T1978" s="217"/>
      <c r="U1978" s="526"/>
      <c r="V1978" s="526"/>
      <c r="W1978" s="526">
        <v>5515638</v>
      </c>
      <c r="X1978" s="526"/>
      <c r="Y1978" s="526"/>
      <c r="Z1978" s="217">
        <f>SUM(U1978:Y1978)</f>
        <v>5515638</v>
      </c>
      <c r="AA1978" s="217"/>
      <c r="AB1978" s="526">
        <v>252000000</v>
      </c>
      <c r="AC1978" s="526"/>
      <c r="AD1978" s="526"/>
      <c r="AE1978" s="526"/>
      <c r="AF1978" s="526"/>
      <c r="AG1978" s="217">
        <f t="shared" ref="AG1978" si="2331">SUM(AB1978:AF1978)</f>
        <v>252000000</v>
      </c>
      <c r="AH1978" s="217">
        <f t="shared" ref="AH1978" si="2332">AG1978+AA1978</f>
        <v>252000000</v>
      </c>
      <c r="AI1978" s="217"/>
      <c r="AJ1978" s="764"/>
    </row>
    <row r="1979" spans="1:36" ht="14">
      <c r="A1979" s="160"/>
      <c r="B1979" s="160"/>
      <c r="C1979" s="161"/>
      <c r="D1979" s="161"/>
      <c r="E1979" s="161"/>
      <c r="F1979" s="41"/>
      <c r="G1979" s="41"/>
      <c r="H1979" s="63"/>
      <c r="I1979" s="41"/>
      <c r="J1979" s="717"/>
      <c r="K1979" s="577"/>
      <c r="L1979" s="717"/>
      <c r="M1979" s="717"/>
      <c r="N1979" s="717"/>
      <c r="O1979" s="717"/>
      <c r="P1979" s="717"/>
      <c r="Q1979" s="717"/>
      <c r="R1979" s="717"/>
      <c r="S1979" s="717"/>
      <c r="T1979" s="717"/>
      <c r="U1979" s="717"/>
      <c r="V1979" s="717"/>
      <c r="W1979" s="717"/>
      <c r="X1979" s="717"/>
      <c r="Y1979" s="717"/>
      <c r="Z1979" s="717"/>
      <c r="AA1979" s="717"/>
      <c r="AB1979" s="717"/>
      <c r="AC1979" s="717"/>
      <c r="AD1979" s="717"/>
      <c r="AE1979" s="717"/>
      <c r="AF1979" s="717"/>
      <c r="AG1979" s="717"/>
      <c r="AH1979" s="717"/>
      <c r="AI1979" s="717"/>
      <c r="AJ1979" s="777"/>
    </row>
    <row r="1980" spans="1:36" ht="12.5" customHeight="1">
      <c r="A1980" s="160"/>
      <c r="B1980" s="160"/>
      <c r="C1980" s="161"/>
      <c r="D1980" s="161"/>
      <c r="E1980" s="161"/>
      <c r="F1980" s="64"/>
      <c r="G1980" s="64"/>
      <c r="H1980" s="65"/>
      <c r="I1980" s="64" t="s">
        <v>38</v>
      </c>
      <c r="J1980" s="170">
        <f t="shared" ref="J1980:K1980" si="2333">SUM(J1978:J1979)</f>
        <v>0</v>
      </c>
      <c r="K1980" s="212">
        <f t="shared" si="2333"/>
        <v>0</v>
      </c>
      <c r="L1980" s="170">
        <f>SUM(L1978:L1979)</f>
        <v>0</v>
      </c>
      <c r="M1980" s="170">
        <f t="shared" ref="M1980:T1980" si="2334">SUM(M1978:M1979)</f>
        <v>0</v>
      </c>
      <c r="N1980" s="170">
        <f t="shared" si="2334"/>
        <v>0</v>
      </c>
      <c r="O1980" s="170">
        <f t="shared" si="2334"/>
        <v>0</v>
      </c>
      <c r="P1980" s="170">
        <f t="shared" si="2334"/>
        <v>0</v>
      </c>
      <c r="Q1980" s="170">
        <f t="shared" si="2334"/>
        <v>2000000</v>
      </c>
      <c r="R1980" s="170">
        <f t="shared" si="2334"/>
        <v>0</v>
      </c>
      <c r="S1980" s="170">
        <f t="shared" si="2334"/>
        <v>2000000</v>
      </c>
      <c r="T1980" s="170">
        <f t="shared" si="2334"/>
        <v>0</v>
      </c>
      <c r="U1980" s="170"/>
      <c r="V1980" s="170"/>
      <c r="W1980" s="170"/>
      <c r="X1980" s="170"/>
      <c r="Y1980" s="170"/>
      <c r="Z1980" s="170">
        <f t="shared" ref="Z1980:AI1980" si="2335">SUM(Z1978:Z1979)</f>
        <v>5515638</v>
      </c>
      <c r="AA1980" s="170">
        <f t="shared" si="2335"/>
        <v>0</v>
      </c>
      <c r="AB1980" s="170">
        <f t="shared" si="2335"/>
        <v>252000000</v>
      </c>
      <c r="AC1980" s="170">
        <f t="shared" si="2335"/>
        <v>0</v>
      </c>
      <c r="AD1980" s="170">
        <f t="shared" si="2335"/>
        <v>0</v>
      </c>
      <c r="AE1980" s="170">
        <f t="shared" si="2335"/>
        <v>0</v>
      </c>
      <c r="AF1980" s="170">
        <f t="shared" si="2335"/>
        <v>0</v>
      </c>
      <c r="AG1980" s="170">
        <f t="shared" si="2335"/>
        <v>252000000</v>
      </c>
      <c r="AH1980" s="170">
        <f t="shared" si="2335"/>
        <v>252000000</v>
      </c>
      <c r="AI1980" s="170">
        <f t="shared" si="2335"/>
        <v>0</v>
      </c>
      <c r="AJ1980" s="789"/>
    </row>
    <row r="1981" spans="1:36" ht="14">
      <c r="A1981" s="160"/>
      <c r="B1981" s="160"/>
      <c r="C1981" s="161"/>
      <c r="D1981" s="161"/>
      <c r="E1981" s="161"/>
      <c r="F1981" s="41"/>
      <c r="G1981" s="41"/>
      <c r="H1981" s="63"/>
      <c r="I1981" s="41"/>
      <c r="J1981" s="717"/>
      <c r="K1981" s="577"/>
      <c r="L1981" s="717"/>
      <c r="M1981" s="717"/>
      <c r="N1981" s="717"/>
      <c r="O1981" s="717"/>
      <c r="P1981" s="717"/>
      <c r="Q1981" s="717"/>
      <c r="R1981" s="717"/>
      <c r="S1981" s="717"/>
      <c r="T1981" s="717"/>
      <c r="U1981" s="717"/>
      <c r="V1981" s="717"/>
      <c r="W1981" s="717"/>
      <c r="X1981" s="717"/>
      <c r="Y1981" s="717"/>
      <c r="Z1981" s="717"/>
      <c r="AA1981" s="717"/>
      <c r="AB1981" s="717"/>
      <c r="AC1981" s="717"/>
      <c r="AD1981" s="717"/>
      <c r="AE1981" s="717"/>
      <c r="AF1981" s="717"/>
      <c r="AG1981" s="717"/>
      <c r="AH1981" s="717"/>
      <c r="AI1981" s="717"/>
      <c r="AJ1981" s="777"/>
    </row>
    <row r="1982" spans="1:36" ht="14">
      <c r="A1982" s="160"/>
      <c r="B1982" s="160">
        <v>2</v>
      </c>
      <c r="C1982" s="161"/>
      <c r="D1982" s="161"/>
      <c r="E1982" s="161"/>
      <c r="F1982" s="41"/>
      <c r="G1982" s="41" t="s">
        <v>707</v>
      </c>
      <c r="H1982" s="63"/>
      <c r="I1982" s="41"/>
      <c r="J1982" s="717"/>
      <c r="K1982" s="577"/>
      <c r="L1982" s="717"/>
      <c r="M1982" s="717"/>
      <c r="N1982" s="717"/>
      <c r="O1982" s="717"/>
      <c r="P1982" s="717"/>
      <c r="Q1982" s="717"/>
      <c r="R1982" s="717"/>
      <c r="S1982" s="717"/>
      <c r="T1982" s="717"/>
      <c r="U1982" s="717"/>
      <c r="V1982" s="717"/>
      <c r="W1982" s="717"/>
      <c r="X1982" s="717"/>
      <c r="Y1982" s="717"/>
      <c r="Z1982" s="717"/>
      <c r="AA1982" s="717"/>
      <c r="AB1982" s="717"/>
      <c r="AC1982" s="717"/>
      <c r="AD1982" s="717"/>
      <c r="AE1982" s="717"/>
      <c r="AF1982" s="717"/>
      <c r="AG1982" s="717"/>
      <c r="AH1982" s="717"/>
      <c r="AI1982" s="717"/>
      <c r="AJ1982" s="777"/>
    </row>
    <row r="1983" spans="1:36" ht="14">
      <c r="A1983" s="160"/>
      <c r="B1983" s="160"/>
      <c r="C1983" s="124">
        <v>1</v>
      </c>
      <c r="D1983" s="124"/>
      <c r="E1983" s="124"/>
      <c r="F1983" s="41"/>
      <c r="G1983" s="41"/>
      <c r="H1983" s="163" t="s">
        <v>35</v>
      </c>
      <c r="I1983" s="66"/>
      <c r="J1983" s="717"/>
      <c r="K1983" s="577"/>
      <c r="L1983" s="717"/>
      <c r="M1983" s="717"/>
      <c r="N1983" s="717"/>
      <c r="O1983" s="717"/>
      <c r="P1983" s="717"/>
      <c r="Q1983" s="717"/>
      <c r="R1983" s="717"/>
      <c r="S1983" s="717"/>
      <c r="T1983" s="717"/>
      <c r="U1983" s="717"/>
      <c r="V1983" s="717"/>
      <c r="W1983" s="717"/>
      <c r="X1983" s="717"/>
      <c r="Y1983" s="717"/>
      <c r="Z1983" s="717"/>
      <c r="AA1983" s="717"/>
      <c r="AB1983" s="802"/>
      <c r="AC1983" s="802"/>
      <c r="AD1983" s="802"/>
      <c r="AE1983" s="802"/>
      <c r="AF1983" s="802"/>
      <c r="AG1983" s="802"/>
      <c r="AH1983" s="802"/>
      <c r="AI1983" s="802"/>
      <c r="AJ1983" s="777"/>
    </row>
    <row r="1984" spans="1:36" ht="14">
      <c r="A1984" s="160"/>
      <c r="B1984" s="160"/>
      <c r="C1984" s="124"/>
      <c r="D1984" s="124">
        <v>3</v>
      </c>
      <c r="E1984" s="124" t="s">
        <v>199</v>
      </c>
      <c r="F1984" s="41"/>
      <c r="G1984" s="41"/>
      <c r="H1984" s="162"/>
      <c r="I1984" s="125" t="s">
        <v>116</v>
      </c>
      <c r="J1984" s="717"/>
      <c r="K1984" s="577"/>
      <c r="L1984" s="717"/>
      <c r="M1984" s="717"/>
      <c r="N1984" s="717"/>
      <c r="O1984" s="717"/>
      <c r="P1984" s="717"/>
      <c r="Q1984" s="717"/>
      <c r="R1984" s="717"/>
      <c r="S1984" s="717"/>
      <c r="T1984" s="717"/>
      <c r="U1984" s="717"/>
      <c r="V1984" s="717"/>
      <c r="W1984" s="717"/>
      <c r="X1984" s="717"/>
      <c r="Y1984" s="717"/>
      <c r="Z1984" s="717"/>
      <c r="AA1984" s="717"/>
      <c r="AB1984" s="802">
        <v>37629921</v>
      </c>
      <c r="AC1984" s="802"/>
      <c r="AD1984" s="802"/>
      <c r="AE1984" s="802"/>
      <c r="AF1984" s="802"/>
      <c r="AG1984" s="217">
        <f t="shared" ref="AG1984:AG1986" si="2336">SUM(AB1984:AF1984)</f>
        <v>37629921</v>
      </c>
      <c r="AH1984" s="217">
        <f t="shared" ref="AH1984:AH1986" si="2337">AG1984+AA1984</f>
        <v>37629921</v>
      </c>
      <c r="AI1984" s="802"/>
      <c r="AJ1984" s="777"/>
    </row>
    <row r="1985" spans="1:36" ht="14">
      <c r="A1985" s="160"/>
      <c r="B1985" s="160"/>
      <c r="C1985" s="124">
        <v>2</v>
      </c>
      <c r="D1985" s="124"/>
      <c r="E1985" s="124"/>
      <c r="F1985" s="41"/>
      <c r="G1985" s="41"/>
      <c r="H1985" s="162" t="s">
        <v>211</v>
      </c>
      <c r="I1985" s="125"/>
      <c r="J1985" s="717"/>
      <c r="K1985" s="577"/>
      <c r="L1985" s="717"/>
      <c r="M1985" s="717"/>
      <c r="N1985" s="717"/>
      <c r="O1985" s="717"/>
      <c r="P1985" s="717"/>
      <c r="Q1985" s="717"/>
      <c r="R1985" s="717"/>
      <c r="S1985" s="717"/>
      <c r="T1985" s="717"/>
      <c r="U1985" s="717"/>
      <c r="V1985" s="717"/>
      <c r="W1985" s="717"/>
      <c r="X1985" s="717"/>
      <c r="Y1985" s="717"/>
      <c r="Z1985" s="717"/>
      <c r="AA1985" s="717"/>
      <c r="AB1985" s="802"/>
      <c r="AC1985" s="802"/>
      <c r="AD1985" s="802"/>
      <c r="AE1985" s="802"/>
      <c r="AF1985" s="802"/>
      <c r="AG1985" s="217"/>
      <c r="AH1985" s="217"/>
      <c r="AI1985" s="802"/>
      <c r="AJ1985" s="777"/>
    </row>
    <row r="1986" spans="1:36" ht="14">
      <c r="A1986" s="160"/>
      <c r="B1986" s="160"/>
      <c r="C1986" s="124"/>
      <c r="D1986" s="124">
        <v>6</v>
      </c>
      <c r="E1986" s="124" t="s">
        <v>199</v>
      </c>
      <c r="F1986" s="41"/>
      <c r="G1986" s="41"/>
      <c r="H1986" s="163"/>
      <c r="I1986" s="125" t="s">
        <v>213</v>
      </c>
      <c r="J1986" s="717"/>
      <c r="K1986" s="577"/>
      <c r="L1986" s="717"/>
      <c r="M1986" s="717"/>
      <c r="N1986" s="717"/>
      <c r="O1986" s="717"/>
      <c r="P1986" s="717"/>
      <c r="Q1986" s="717"/>
      <c r="R1986" s="717"/>
      <c r="S1986" s="717"/>
      <c r="T1986" s="717"/>
      <c r="U1986" s="717"/>
      <c r="V1986" s="717"/>
      <c r="W1986" s="717"/>
      <c r="X1986" s="717"/>
      <c r="Y1986" s="717"/>
      <c r="Z1986" s="717"/>
      <c r="AA1986" s="717"/>
      <c r="AB1986" s="802">
        <v>139370079</v>
      </c>
      <c r="AC1986" s="802"/>
      <c r="AD1986" s="802"/>
      <c r="AE1986" s="802"/>
      <c r="AF1986" s="802"/>
      <c r="AG1986" s="217">
        <f t="shared" si="2336"/>
        <v>139370079</v>
      </c>
      <c r="AH1986" s="217">
        <f t="shared" si="2337"/>
        <v>139370079</v>
      </c>
      <c r="AI1986" s="802"/>
      <c r="AJ1986" s="777"/>
    </row>
    <row r="1987" spans="1:36" ht="14">
      <c r="A1987" s="160"/>
      <c r="B1987" s="160"/>
      <c r="C1987" s="161"/>
      <c r="D1987" s="161"/>
      <c r="E1987" s="161"/>
      <c r="F1987" s="41"/>
      <c r="G1987" s="41"/>
      <c r="H1987" s="63"/>
      <c r="I1987" s="41"/>
      <c r="J1987" s="717"/>
      <c r="K1987" s="577"/>
      <c r="L1987" s="717"/>
      <c r="M1987" s="717"/>
      <c r="N1987" s="717"/>
      <c r="O1987" s="717"/>
      <c r="P1987" s="717"/>
      <c r="Q1987" s="717"/>
      <c r="R1987" s="717"/>
      <c r="S1987" s="717"/>
      <c r="T1987" s="717"/>
      <c r="U1987" s="717"/>
      <c r="V1987" s="717"/>
      <c r="W1987" s="717"/>
      <c r="X1987" s="717"/>
      <c r="Y1987" s="717"/>
      <c r="Z1987" s="717"/>
      <c r="AA1987" s="717"/>
      <c r="AB1987" s="802"/>
      <c r="AC1987" s="802"/>
      <c r="AD1987" s="802"/>
      <c r="AE1987" s="802"/>
      <c r="AF1987" s="802"/>
      <c r="AG1987" s="217"/>
      <c r="AH1987" s="217"/>
      <c r="AI1987" s="802"/>
      <c r="AJ1987" s="777"/>
    </row>
    <row r="1988" spans="1:36" ht="12.5" customHeight="1">
      <c r="A1988" s="160"/>
      <c r="B1988" s="160"/>
      <c r="C1988" s="161"/>
      <c r="D1988" s="161"/>
      <c r="E1988" s="161"/>
      <c r="F1988" s="64"/>
      <c r="G1988" s="64"/>
      <c r="H1988" s="65"/>
      <c r="I1988" s="64" t="s">
        <v>38</v>
      </c>
      <c r="J1988" s="170">
        <f t="shared" ref="J1988:K1988" si="2338">SUM(J1986:J1987)</f>
        <v>0</v>
      </c>
      <c r="K1988" s="212">
        <f t="shared" si="2338"/>
        <v>0</v>
      </c>
      <c r="L1988" s="170">
        <f>SUM(L1986:L1987)</f>
        <v>0</v>
      </c>
      <c r="M1988" s="170">
        <f t="shared" ref="M1988:T1988" si="2339">SUM(M1986:M1987)</f>
        <v>0</v>
      </c>
      <c r="N1988" s="170">
        <f t="shared" si="2339"/>
        <v>0</v>
      </c>
      <c r="O1988" s="170">
        <f t="shared" si="2339"/>
        <v>0</v>
      </c>
      <c r="P1988" s="170">
        <f t="shared" si="2339"/>
        <v>0</v>
      </c>
      <c r="Q1988" s="170">
        <f t="shared" si="2339"/>
        <v>0</v>
      </c>
      <c r="R1988" s="170">
        <f t="shared" si="2339"/>
        <v>0</v>
      </c>
      <c r="S1988" s="170">
        <f t="shared" si="2339"/>
        <v>0</v>
      </c>
      <c r="T1988" s="170">
        <f t="shared" si="2339"/>
        <v>0</v>
      </c>
      <c r="U1988" s="170"/>
      <c r="V1988" s="170"/>
      <c r="W1988" s="170"/>
      <c r="X1988" s="170"/>
      <c r="Y1988" s="170"/>
      <c r="Z1988" s="170">
        <f t="shared" ref="Z1988:AI1988" si="2340">SUM(Z1986:Z1987)</f>
        <v>0</v>
      </c>
      <c r="AA1988" s="170">
        <f t="shared" si="2340"/>
        <v>0</v>
      </c>
      <c r="AB1988" s="170">
        <f t="shared" ref="AB1988:AG1988" si="2341">SUM(AB1984:AB1986)</f>
        <v>177000000</v>
      </c>
      <c r="AC1988" s="170">
        <f t="shared" si="2341"/>
        <v>0</v>
      </c>
      <c r="AD1988" s="170">
        <f t="shared" si="2341"/>
        <v>0</v>
      </c>
      <c r="AE1988" s="170">
        <f t="shared" si="2341"/>
        <v>0</v>
      </c>
      <c r="AF1988" s="170">
        <f t="shared" si="2341"/>
        <v>0</v>
      </c>
      <c r="AG1988" s="170">
        <f t="shared" si="2341"/>
        <v>177000000</v>
      </c>
      <c r="AH1988" s="170">
        <f>SUM(AH1984:AH1986)</f>
        <v>177000000</v>
      </c>
      <c r="AI1988" s="170">
        <f t="shared" si="2340"/>
        <v>0</v>
      </c>
      <c r="AJ1988" s="789"/>
    </row>
    <row r="1989" spans="1:36" ht="14">
      <c r="A1989" s="160"/>
      <c r="B1989" s="160"/>
      <c r="C1989" s="161"/>
      <c r="D1989" s="161"/>
      <c r="E1989" s="161"/>
      <c r="F1989" s="41"/>
      <c r="G1989" s="41"/>
      <c r="H1989" s="63"/>
      <c r="I1989" s="41"/>
      <c r="J1989" s="717"/>
      <c r="K1989" s="577"/>
      <c r="L1989" s="717"/>
      <c r="M1989" s="717"/>
      <c r="N1989" s="717"/>
      <c r="O1989" s="717"/>
      <c r="P1989" s="717"/>
      <c r="Q1989" s="717"/>
      <c r="R1989" s="717"/>
      <c r="S1989" s="717"/>
      <c r="T1989" s="717"/>
      <c r="U1989" s="717"/>
      <c r="V1989" s="717"/>
      <c r="W1989" s="717"/>
      <c r="X1989" s="717"/>
      <c r="Y1989" s="717"/>
      <c r="Z1989" s="717"/>
      <c r="AA1989" s="717"/>
      <c r="AB1989" s="717"/>
      <c r="AC1989" s="717"/>
      <c r="AD1989" s="717"/>
      <c r="AE1989" s="717"/>
      <c r="AF1989" s="717"/>
      <c r="AG1989" s="717"/>
      <c r="AH1989" s="717"/>
      <c r="AI1989" s="717"/>
      <c r="AJ1989" s="777"/>
    </row>
    <row r="1990" spans="1:36" ht="14">
      <c r="A1990" s="160"/>
      <c r="B1990" s="160">
        <v>3</v>
      </c>
      <c r="C1990" s="161"/>
      <c r="D1990" s="161"/>
      <c r="E1990" s="161"/>
      <c r="F1990" s="41"/>
      <c r="G1990" s="41" t="s">
        <v>708</v>
      </c>
      <c r="H1990" s="63"/>
      <c r="I1990" s="41"/>
      <c r="J1990" s="717"/>
      <c r="K1990" s="577"/>
      <c r="L1990" s="717"/>
      <c r="M1990" s="717"/>
      <c r="N1990" s="717"/>
      <c r="O1990" s="717"/>
      <c r="P1990" s="717"/>
      <c r="Q1990" s="717"/>
      <c r="R1990" s="717"/>
      <c r="S1990" s="717"/>
      <c r="T1990" s="717"/>
      <c r="U1990" s="717"/>
      <c r="V1990" s="717"/>
      <c r="W1990" s="717"/>
      <c r="X1990" s="717"/>
      <c r="Y1990" s="717"/>
      <c r="Z1990" s="717"/>
      <c r="AA1990" s="717"/>
      <c r="AB1990" s="717"/>
      <c r="AC1990" s="717"/>
      <c r="AD1990" s="717"/>
      <c r="AE1990" s="717"/>
      <c r="AF1990" s="717"/>
      <c r="AG1990" s="717"/>
      <c r="AH1990" s="717"/>
      <c r="AI1990" s="717"/>
      <c r="AJ1990" s="780"/>
    </row>
    <row r="1991" spans="1:36" ht="14">
      <c r="A1991" s="160"/>
      <c r="B1991" s="160"/>
      <c r="C1991" s="124">
        <v>2</v>
      </c>
      <c r="D1991" s="124"/>
      <c r="E1991" s="124"/>
      <c r="F1991" s="41"/>
      <c r="G1991" s="41"/>
      <c r="H1991" s="162" t="s">
        <v>211</v>
      </c>
      <c r="I1991" s="125"/>
      <c r="J1991" s="717"/>
      <c r="K1991" s="577"/>
      <c r="L1991" s="717"/>
      <c r="M1991" s="717"/>
      <c r="N1991" s="717"/>
      <c r="O1991" s="717"/>
      <c r="P1991" s="717"/>
      <c r="Q1991" s="717"/>
      <c r="R1991" s="717"/>
      <c r="S1991" s="717"/>
      <c r="T1991" s="717"/>
      <c r="U1991" s="717"/>
      <c r="V1991" s="717"/>
      <c r="W1991" s="717"/>
      <c r="X1991" s="717"/>
      <c r="Y1991" s="717"/>
      <c r="Z1991" s="717"/>
      <c r="AA1991" s="717"/>
      <c r="AB1991" s="717"/>
      <c r="AC1991" s="717"/>
      <c r="AD1991" s="717"/>
      <c r="AE1991" s="717"/>
      <c r="AF1991" s="717"/>
      <c r="AG1991" s="717"/>
      <c r="AH1991" s="717"/>
      <c r="AI1991" s="717"/>
      <c r="AJ1991" s="780"/>
    </row>
    <row r="1992" spans="1:36" ht="14">
      <c r="A1992" s="161"/>
      <c r="B1992" s="161"/>
      <c r="C1992" s="124"/>
      <c r="D1992" s="124">
        <v>6</v>
      </c>
      <c r="E1992" s="124" t="s">
        <v>199</v>
      </c>
      <c r="F1992" s="66"/>
      <c r="G1992" s="66"/>
      <c r="H1992" s="163"/>
      <c r="I1992" s="125" t="s">
        <v>213</v>
      </c>
      <c r="J1992" s="526"/>
      <c r="K1992" s="576"/>
      <c r="L1992" s="526"/>
      <c r="M1992" s="526"/>
      <c r="N1992" s="526"/>
      <c r="O1992" s="526"/>
      <c r="P1992" s="526"/>
      <c r="Q1992" s="526">
        <v>2000000</v>
      </c>
      <c r="R1992" s="526"/>
      <c r="S1992" s="217">
        <f t="shared" ref="S1992" si="2342">SUM(M1992:R1992)</f>
        <v>2000000</v>
      </c>
      <c r="T1992" s="217"/>
      <c r="U1992" s="526"/>
      <c r="V1992" s="526"/>
      <c r="W1992" s="526">
        <v>5515638</v>
      </c>
      <c r="X1992" s="526"/>
      <c r="Y1992" s="526"/>
      <c r="Z1992" s="217">
        <f>SUM(U1992:Y1992)</f>
        <v>5515638</v>
      </c>
      <c r="AA1992" s="217"/>
      <c r="AB1992" s="526">
        <v>132800000</v>
      </c>
      <c r="AC1992" s="526"/>
      <c r="AD1992" s="526"/>
      <c r="AE1992" s="526"/>
      <c r="AF1992" s="526"/>
      <c r="AG1992" s="217">
        <f t="shared" ref="AG1992" si="2343">SUM(AB1992:AF1992)</f>
        <v>132800000</v>
      </c>
      <c r="AH1992" s="217">
        <f t="shared" ref="AH1992" si="2344">AG1992+AA1992</f>
        <v>132800000</v>
      </c>
      <c r="AI1992" s="217"/>
      <c r="AJ1992" s="764"/>
    </row>
    <row r="1993" spans="1:36" ht="14">
      <c r="A1993" s="160"/>
      <c r="B1993" s="160"/>
      <c r="C1993" s="161"/>
      <c r="D1993" s="161"/>
      <c r="E1993" s="161"/>
      <c r="F1993" s="41"/>
      <c r="G1993" s="41"/>
      <c r="H1993" s="63"/>
      <c r="I1993" s="41"/>
      <c r="J1993" s="717"/>
      <c r="K1993" s="577"/>
      <c r="L1993" s="717"/>
      <c r="M1993" s="717"/>
      <c r="N1993" s="717"/>
      <c r="O1993" s="717"/>
      <c r="P1993" s="717"/>
      <c r="Q1993" s="717"/>
      <c r="R1993" s="717"/>
      <c r="S1993" s="717"/>
      <c r="T1993" s="717"/>
      <c r="U1993" s="717"/>
      <c r="V1993" s="717"/>
      <c r="W1993" s="717"/>
      <c r="X1993" s="717"/>
      <c r="Y1993" s="717"/>
      <c r="Z1993" s="717"/>
      <c r="AA1993" s="717"/>
      <c r="AB1993" s="717"/>
      <c r="AC1993" s="717"/>
      <c r="AD1993" s="717"/>
      <c r="AE1993" s="717"/>
      <c r="AF1993" s="717"/>
      <c r="AG1993" s="717"/>
      <c r="AH1993" s="717"/>
      <c r="AI1993" s="717"/>
      <c r="AJ1993" s="777"/>
    </row>
    <row r="1994" spans="1:36" ht="12.5" customHeight="1">
      <c r="A1994" s="160"/>
      <c r="B1994" s="160"/>
      <c r="C1994" s="161"/>
      <c r="D1994" s="161"/>
      <c r="E1994" s="161"/>
      <c r="F1994" s="64"/>
      <c r="G1994" s="64"/>
      <c r="H1994" s="65"/>
      <c r="I1994" s="64" t="s">
        <v>38</v>
      </c>
      <c r="J1994" s="170">
        <f t="shared" ref="J1994:K1994" si="2345">SUM(J1992:J1993)</f>
        <v>0</v>
      </c>
      <c r="K1994" s="212">
        <f t="shared" si="2345"/>
        <v>0</v>
      </c>
      <c r="L1994" s="170">
        <f>SUM(L1992:L1993)</f>
        <v>0</v>
      </c>
      <c r="M1994" s="170">
        <f t="shared" ref="M1994:T1994" si="2346">SUM(M1992:M1993)</f>
        <v>0</v>
      </c>
      <c r="N1994" s="170">
        <f t="shared" si="2346"/>
        <v>0</v>
      </c>
      <c r="O1994" s="170">
        <f t="shared" si="2346"/>
        <v>0</v>
      </c>
      <c r="P1994" s="170">
        <f t="shared" si="2346"/>
        <v>0</v>
      </c>
      <c r="Q1994" s="170">
        <f t="shared" si="2346"/>
        <v>2000000</v>
      </c>
      <c r="R1994" s="170">
        <f t="shared" si="2346"/>
        <v>0</v>
      </c>
      <c r="S1994" s="170">
        <f t="shared" si="2346"/>
        <v>2000000</v>
      </c>
      <c r="T1994" s="170">
        <f t="shared" si="2346"/>
        <v>0</v>
      </c>
      <c r="U1994" s="170"/>
      <c r="V1994" s="170"/>
      <c r="W1994" s="170"/>
      <c r="X1994" s="170"/>
      <c r="Y1994" s="170"/>
      <c r="Z1994" s="170">
        <f t="shared" ref="Z1994:AI1994" si="2347">SUM(Z1992:Z1993)</f>
        <v>5515638</v>
      </c>
      <c r="AA1994" s="170">
        <f t="shared" si="2347"/>
        <v>0</v>
      </c>
      <c r="AB1994" s="170">
        <f t="shared" si="2347"/>
        <v>132800000</v>
      </c>
      <c r="AC1994" s="170">
        <f t="shared" si="2347"/>
        <v>0</v>
      </c>
      <c r="AD1994" s="170">
        <f t="shared" si="2347"/>
        <v>0</v>
      </c>
      <c r="AE1994" s="170">
        <f t="shared" si="2347"/>
        <v>0</v>
      </c>
      <c r="AF1994" s="170">
        <f t="shared" si="2347"/>
        <v>0</v>
      </c>
      <c r="AG1994" s="170">
        <f t="shared" si="2347"/>
        <v>132800000</v>
      </c>
      <c r="AH1994" s="170">
        <f t="shared" si="2347"/>
        <v>132800000</v>
      </c>
      <c r="AI1994" s="170">
        <f t="shared" si="2347"/>
        <v>0</v>
      </c>
      <c r="AJ1994" s="789"/>
    </row>
    <row r="1995" spans="1:36" ht="14">
      <c r="A1995" s="160"/>
      <c r="B1995" s="160"/>
      <c r="C1995" s="161"/>
      <c r="D1995" s="161"/>
      <c r="E1995" s="161"/>
      <c r="F1995" s="41"/>
      <c r="G1995" s="41"/>
      <c r="H1995" s="63"/>
      <c r="I1995" s="41"/>
      <c r="J1995" s="717"/>
      <c r="K1995" s="577"/>
      <c r="L1995" s="717"/>
      <c r="M1995" s="717"/>
      <c r="N1995" s="717"/>
      <c r="O1995" s="717"/>
      <c r="P1995" s="717"/>
      <c r="Q1995" s="717"/>
      <c r="R1995" s="717"/>
      <c r="S1995" s="717"/>
      <c r="T1995" s="717"/>
      <c r="U1995" s="717"/>
      <c r="V1995" s="717"/>
      <c r="W1995" s="717"/>
      <c r="X1995" s="717"/>
      <c r="Y1995" s="717"/>
      <c r="Z1995" s="717"/>
      <c r="AA1995" s="717"/>
      <c r="AB1995" s="717"/>
      <c r="AC1995" s="717"/>
      <c r="AD1995" s="717"/>
      <c r="AE1995" s="717"/>
      <c r="AF1995" s="717"/>
      <c r="AG1995" s="717"/>
      <c r="AH1995" s="717"/>
      <c r="AI1995" s="717"/>
      <c r="AJ1995" s="777"/>
    </row>
    <row r="1996" spans="1:36" ht="14">
      <c r="A1996" s="160"/>
      <c r="B1996" s="160">
        <v>4</v>
      </c>
      <c r="C1996" s="161"/>
      <c r="D1996" s="161"/>
      <c r="E1996" s="161"/>
      <c r="F1996" s="41"/>
      <c r="G1996" s="41" t="s">
        <v>709</v>
      </c>
      <c r="H1996" s="63"/>
      <c r="I1996" s="41"/>
      <c r="J1996" s="717"/>
      <c r="K1996" s="577"/>
      <c r="L1996" s="717"/>
      <c r="M1996" s="717"/>
      <c r="N1996" s="717"/>
      <c r="O1996" s="717"/>
      <c r="P1996" s="717"/>
      <c r="Q1996" s="717"/>
      <c r="R1996" s="717"/>
      <c r="S1996" s="717"/>
      <c r="T1996" s="717"/>
      <c r="U1996" s="717"/>
      <c r="V1996" s="717"/>
      <c r="W1996" s="717"/>
      <c r="X1996" s="717"/>
      <c r="Y1996" s="717"/>
      <c r="Z1996" s="717"/>
      <c r="AA1996" s="717"/>
      <c r="AB1996" s="717"/>
      <c r="AC1996" s="717"/>
      <c r="AD1996" s="717"/>
      <c r="AE1996" s="717"/>
      <c r="AF1996" s="717"/>
      <c r="AG1996" s="717"/>
      <c r="AH1996" s="717"/>
      <c r="AI1996" s="717"/>
      <c r="AJ1996" s="780"/>
    </row>
    <row r="1997" spans="1:36" ht="14">
      <c r="A1997" s="160"/>
      <c r="B1997" s="160"/>
      <c r="C1997" s="124">
        <v>2</v>
      </c>
      <c r="D1997" s="124"/>
      <c r="E1997" s="124"/>
      <c r="F1997" s="41"/>
      <c r="G1997" s="41"/>
      <c r="H1997" s="162" t="s">
        <v>211</v>
      </c>
      <c r="I1997" s="125"/>
      <c r="J1997" s="717"/>
      <c r="K1997" s="577"/>
      <c r="L1997" s="717"/>
      <c r="M1997" s="717"/>
      <c r="N1997" s="717"/>
      <c r="O1997" s="717"/>
      <c r="P1997" s="717"/>
      <c r="Q1997" s="717"/>
      <c r="R1997" s="717"/>
      <c r="S1997" s="717"/>
      <c r="T1997" s="717"/>
      <c r="U1997" s="717"/>
      <c r="V1997" s="717"/>
      <c r="W1997" s="717"/>
      <c r="X1997" s="717"/>
      <c r="Y1997" s="717"/>
      <c r="Z1997" s="717"/>
      <c r="AA1997" s="717"/>
      <c r="AB1997" s="717"/>
      <c r="AC1997" s="717"/>
      <c r="AD1997" s="717"/>
      <c r="AE1997" s="717"/>
      <c r="AF1997" s="717"/>
      <c r="AG1997" s="717"/>
      <c r="AH1997" s="717"/>
      <c r="AI1997" s="717"/>
      <c r="AJ1997" s="780"/>
    </row>
    <row r="1998" spans="1:36" ht="14">
      <c r="A1998" s="161"/>
      <c r="B1998" s="161"/>
      <c r="C1998" s="124"/>
      <c r="D1998" s="124">
        <v>6</v>
      </c>
      <c r="E1998" s="124" t="s">
        <v>199</v>
      </c>
      <c r="F1998" s="66"/>
      <c r="G1998" s="66"/>
      <c r="H1998" s="163"/>
      <c r="I1998" s="125" t="s">
        <v>213</v>
      </c>
      <c r="J1998" s="526"/>
      <c r="K1998" s="576"/>
      <c r="L1998" s="526"/>
      <c r="M1998" s="526"/>
      <c r="N1998" s="526"/>
      <c r="O1998" s="526"/>
      <c r="P1998" s="526"/>
      <c r="Q1998" s="526">
        <v>2000000</v>
      </c>
      <c r="R1998" s="526"/>
      <c r="S1998" s="217">
        <f t="shared" ref="S1998" si="2348">SUM(M1998:R1998)</f>
        <v>2000000</v>
      </c>
      <c r="T1998" s="217"/>
      <c r="U1998" s="526"/>
      <c r="V1998" s="526"/>
      <c r="W1998" s="526">
        <v>5515638</v>
      </c>
      <c r="X1998" s="526"/>
      <c r="Y1998" s="526"/>
      <c r="Z1998" s="217">
        <f>SUM(U1998:Y1998)</f>
        <v>5515638</v>
      </c>
      <c r="AA1998" s="217"/>
      <c r="AB1998" s="526">
        <v>42931964</v>
      </c>
      <c r="AC1998" s="526"/>
      <c r="AD1998" s="526"/>
      <c r="AE1998" s="526"/>
      <c r="AF1998" s="526"/>
      <c r="AG1998" s="217">
        <f t="shared" ref="AG1998" si="2349">SUM(AB1998:AF1998)</f>
        <v>42931964</v>
      </c>
      <c r="AH1998" s="217">
        <f t="shared" ref="AH1998" si="2350">AG1998+AA1998</f>
        <v>42931964</v>
      </c>
      <c r="AI1998" s="217"/>
      <c r="AJ1998" s="764"/>
    </row>
    <row r="1999" spans="1:36" ht="14">
      <c r="A1999" s="160"/>
      <c r="B1999" s="160"/>
      <c r="C1999" s="161"/>
      <c r="D1999" s="161"/>
      <c r="E1999" s="161"/>
      <c r="F1999" s="41"/>
      <c r="G1999" s="41"/>
      <c r="H1999" s="63"/>
      <c r="I1999" s="41"/>
      <c r="J1999" s="717"/>
      <c r="K1999" s="577"/>
      <c r="L1999" s="717"/>
      <c r="M1999" s="717"/>
      <c r="N1999" s="717"/>
      <c r="O1999" s="717"/>
      <c r="P1999" s="717"/>
      <c r="Q1999" s="717"/>
      <c r="R1999" s="717"/>
      <c r="S1999" s="717"/>
      <c r="T1999" s="717"/>
      <c r="U1999" s="717"/>
      <c r="V1999" s="717"/>
      <c r="W1999" s="717"/>
      <c r="X1999" s="717"/>
      <c r="Y1999" s="717"/>
      <c r="Z1999" s="717"/>
      <c r="AA1999" s="717"/>
      <c r="AB1999" s="717"/>
      <c r="AC1999" s="717"/>
      <c r="AD1999" s="717"/>
      <c r="AE1999" s="717"/>
      <c r="AF1999" s="717"/>
      <c r="AG1999" s="717"/>
      <c r="AH1999" s="717"/>
      <c r="AI1999" s="717"/>
      <c r="AJ1999" s="777"/>
    </row>
    <row r="2000" spans="1:36" ht="12.5" customHeight="1">
      <c r="A2000" s="160"/>
      <c r="B2000" s="160"/>
      <c r="C2000" s="161"/>
      <c r="D2000" s="161"/>
      <c r="E2000" s="161"/>
      <c r="F2000" s="64"/>
      <c r="G2000" s="64"/>
      <c r="H2000" s="65"/>
      <c r="I2000" s="64" t="s">
        <v>38</v>
      </c>
      <c r="J2000" s="170">
        <f t="shared" ref="J2000:K2000" si="2351">SUM(J1998:J1999)</f>
        <v>0</v>
      </c>
      <c r="K2000" s="212">
        <f t="shared" si="2351"/>
        <v>0</v>
      </c>
      <c r="L2000" s="170">
        <f>SUM(L1998:L1999)</f>
        <v>0</v>
      </c>
      <c r="M2000" s="170">
        <f t="shared" ref="M2000:T2000" si="2352">SUM(M1998:M1999)</f>
        <v>0</v>
      </c>
      <c r="N2000" s="170">
        <f t="shared" si="2352"/>
        <v>0</v>
      </c>
      <c r="O2000" s="170">
        <f t="shared" si="2352"/>
        <v>0</v>
      </c>
      <c r="P2000" s="170">
        <f t="shared" si="2352"/>
        <v>0</v>
      </c>
      <c r="Q2000" s="170">
        <f t="shared" si="2352"/>
        <v>2000000</v>
      </c>
      <c r="R2000" s="170">
        <f t="shared" si="2352"/>
        <v>0</v>
      </c>
      <c r="S2000" s="170">
        <f t="shared" si="2352"/>
        <v>2000000</v>
      </c>
      <c r="T2000" s="170">
        <f t="shared" si="2352"/>
        <v>0</v>
      </c>
      <c r="U2000" s="170"/>
      <c r="V2000" s="170"/>
      <c r="W2000" s="170"/>
      <c r="X2000" s="170"/>
      <c r="Y2000" s="170"/>
      <c r="Z2000" s="170">
        <f t="shared" ref="Z2000:AI2000" si="2353">SUM(Z1998:Z1999)</f>
        <v>5515638</v>
      </c>
      <c r="AA2000" s="170">
        <f t="shared" si="2353"/>
        <v>0</v>
      </c>
      <c r="AB2000" s="170">
        <f t="shared" si="2353"/>
        <v>42931964</v>
      </c>
      <c r="AC2000" s="170">
        <f t="shared" si="2353"/>
        <v>0</v>
      </c>
      <c r="AD2000" s="170">
        <f t="shared" si="2353"/>
        <v>0</v>
      </c>
      <c r="AE2000" s="170">
        <f t="shared" si="2353"/>
        <v>0</v>
      </c>
      <c r="AF2000" s="170">
        <f t="shared" si="2353"/>
        <v>0</v>
      </c>
      <c r="AG2000" s="170">
        <f t="shared" si="2353"/>
        <v>42931964</v>
      </c>
      <c r="AH2000" s="170">
        <f t="shared" si="2353"/>
        <v>42931964</v>
      </c>
      <c r="AI2000" s="170">
        <f t="shared" si="2353"/>
        <v>0</v>
      </c>
      <c r="AJ2000" s="789"/>
    </row>
    <row r="2001" spans="1:36" ht="14">
      <c r="A2001" s="160"/>
      <c r="B2001" s="160"/>
      <c r="C2001" s="161"/>
      <c r="D2001" s="161"/>
      <c r="E2001" s="161"/>
      <c r="F2001" s="41"/>
      <c r="G2001" s="41"/>
      <c r="H2001" s="63"/>
      <c r="I2001" s="41"/>
      <c r="J2001" s="717"/>
      <c r="K2001" s="577"/>
      <c r="L2001" s="717"/>
      <c r="M2001" s="717"/>
      <c r="N2001" s="717"/>
      <c r="O2001" s="717"/>
      <c r="P2001" s="717"/>
      <c r="Q2001" s="717"/>
      <c r="R2001" s="717"/>
      <c r="S2001" s="717"/>
      <c r="T2001" s="717"/>
      <c r="U2001" s="717"/>
      <c r="V2001" s="717"/>
      <c r="W2001" s="717"/>
      <c r="X2001" s="717"/>
      <c r="Y2001" s="717"/>
      <c r="Z2001" s="717"/>
      <c r="AA2001" s="717"/>
      <c r="AB2001" s="717"/>
      <c r="AC2001" s="717"/>
      <c r="AD2001" s="717"/>
      <c r="AE2001" s="717"/>
      <c r="AF2001" s="717"/>
      <c r="AG2001" s="717"/>
      <c r="AH2001" s="717"/>
      <c r="AI2001" s="717"/>
      <c r="AJ2001" s="777"/>
    </row>
    <row r="2002" spans="1:36" ht="25.5" customHeight="1">
      <c r="A2002" s="160"/>
      <c r="B2002" s="160">
        <v>5</v>
      </c>
      <c r="C2002" s="161"/>
      <c r="D2002" s="161"/>
      <c r="E2002" s="161"/>
      <c r="F2002" s="41"/>
      <c r="G2002" s="935" t="s">
        <v>710</v>
      </c>
      <c r="H2002" s="935"/>
      <c r="I2002" s="977"/>
      <c r="J2002" s="717"/>
      <c r="K2002" s="577"/>
      <c r="L2002" s="717"/>
      <c r="M2002" s="717"/>
      <c r="N2002" s="717"/>
      <c r="O2002" s="717"/>
      <c r="P2002" s="717"/>
      <c r="Q2002" s="717"/>
      <c r="R2002" s="717"/>
      <c r="S2002" s="717"/>
      <c r="T2002" s="717"/>
      <c r="U2002" s="717"/>
      <c r="V2002" s="717"/>
      <c r="W2002" s="717"/>
      <c r="X2002" s="717"/>
      <c r="Y2002" s="717"/>
      <c r="Z2002" s="717"/>
      <c r="AA2002" s="717"/>
      <c r="AB2002" s="717"/>
      <c r="AC2002" s="717"/>
      <c r="AD2002" s="717"/>
      <c r="AE2002" s="717"/>
      <c r="AF2002" s="717"/>
      <c r="AG2002" s="717"/>
      <c r="AH2002" s="717"/>
      <c r="AI2002" s="717"/>
      <c r="AJ2002" s="777"/>
    </row>
    <row r="2003" spans="1:36" ht="14">
      <c r="A2003" s="160"/>
      <c r="B2003" s="160"/>
      <c r="C2003" s="124">
        <v>1</v>
      </c>
      <c r="D2003" s="124"/>
      <c r="E2003" s="124"/>
      <c r="F2003" s="41"/>
      <c r="G2003" s="41"/>
      <c r="H2003" s="163" t="s">
        <v>35</v>
      </c>
      <c r="I2003" s="66"/>
      <c r="J2003" s="717"/>
      <c r="K2003" s="577"/>
      <c r="L2003" s="717"/>
      <c r="M2003" s="717"/>
      <c r="N2003" s="717"/>
      <c r="O2003" s="717"/>
      <c r="P2003" s="717"/>
      <c r="Q2003" s="717"/>
      <c r="R2003" s="717"/>
      <c r="S2003" s="717"/>
      <c r="T2003" s="717"/>
      <c r="U2003" s="717"/>
      <c r="V2003" s="717"/>
      <c r="W2003" s="717"/>
      <c r="X2003" s="717"/>
      <c r="Y2003" s="717"/>
      <c r="Z2003" s="717"/>
      <c r="AA2003" s="717"/>
      <c r="AB2003" s="802"/>
      <c r="AC2003" s="802"/>
      <c r="AD2003" s="802"/>
      <c r="AE2003" s="802"/>
      <c r="AF2003" s="802"/>
      <c r="AG2003" s="802"/>
      <c r="AH2003" s="802"/>
      <c r="AI2003" s="802"/>
      <c r="AJ2003" s="777"/>
    </row>
    <row r="2004" spans="1:36" ht="14">
      <c r="A2004" s="160"/>
      <c r="B2004" s="160"/>
      <c r="C2004" s="124"/>
      <c r="D2004" s="124">
        <v>3</v>
      </c>
      <c r="E2004" s="124" t="s">
        <v>199</v>
      </c>
      <c r="F2004" s="41"/>
      <c r="G2004" s="41"/>
      <c r="H2004" s="162"/>
      <c r="I2004" s="125" t="s">
        <v>116</v>
      </c>
      <c r="J2004" s="717"/>
      <c r="K2004" s="577"/>
      <c r="L2004" s="717"/>
      <c r="M2004" s="717"/>
      <c r="N2004" s="717"/>
      <c r="O2004" s="717"/>
      <c r="P2004" s="717"/>
      <c r="Q2004" s="717"/>
      <c r="R2004" s="717"/>
      <c r="S2004" s="717"/>
      <c r="T2004" s="717"/>
      <c r="U2004" s="717"/>
      <c r="V2004" s="717"/>
      <c r="W2004" s="717"/>
      <c r="X2004" s="717"/>
      <c r="Y2004" s="717"/>
      <c r="Z2004" s="717"/>
      <c r="AA2004" s="717"/>
      <c r="AB2004" s="802">
        <v>66812890</v>
      </c>
      <c r="AC2004" s="802"/>
      <c r="AD2004" s="802"/>
      <c r="AE2004" s="802"/>
      <c r="AF2004" s="802"/>
      <c r="AG2004" s="217">
        <f t="shared" ref="AG2004" si="2354">SUM(AB2004:AF2004)</f>
        <v>66812890</v>
      </c>
      <c r="AH2004" s="217">
        <f t="shared" ref="AH2004" si="2355">AG2004+AA2004</f>
        <v>66812890</v>
      </c>
      <c r="AI2004" s="802"/>
      <c r="AJ2004" s="777"/>
    </row>
    <row r="2005" spans="1:36" ht="14">
      <c r="A2005" s="160"/>
      <c r="B2005" s="160"/>
      <c r="C2005" s="124">
        <v>2</v>
      </c>
      <c r="D2005" s="124"/>
      <c r="E2005" s="124"/>
      <c r="F2005" s="41"/>
      <c r="G2005" s="41"/>
      <c r="H2005" s="162" t="s">
        <v>211</v>
      </c>
      <c r="I2005" s="125"/>
      <c r="J2005" s="717"/>
      <c r="K2005" s="577"/>
      <c r="L2005" s="717"/>
      <c r="M2005" s="717"/>
      <c r="N2005" s="717"/>
      <c r="O2005" s="717"/>
      <c r="P2005" s="717"/>
      <c r="Q2005" s="717"/>
      <c r="R2005" s="717"/>
      <c r="S2005" s="717"/>
      <c r="T2005" s="717"/>
      <c r="U2005" s="717"/>
      <c r="V2005" s="717"/>
      <c r="W2005" s="717"/>
      <c r="X2005" s="717"/>
      <c r="Y2005" s="717"/>
      <c r="Z2005" s="717"/>
      <c r="AA2005" s="717"/>
      <c r="AB2005" s="802"/>
      <c r="AC2005" s="802"/>
      <c r="AD2005" s="802"/>
      <c r="AE2005" s="802"/>
      <c r="AF2005" s="802"/>
      <c r="AG2005" s="217"/>
      <c r="AH2005" s="217"/>
      <c r="AI2005" s="802"/>
      <c r="AJ2005" s="777"/>
    </row>
    <row r="2006" spans="1:36" ht="14">
      <c r="A2006" s="160"/>
      <c r="B2006" s="160"/>
      <c r="C2006" s="124"/>
      <c r="D2006" s="124">
        <v>6</v>
      </c>
      <c r="E2006" s="124" t="s">
        <v>199</v>
      </c>
      <c r="F2006" s="41"/>
      <c r="G2006" s="41"/>
      <c r="H2006" s="163"/>
      <c r="I2006" s="125" t="s">
        <v>213</v>
      </c>
      <c r="J2006" s="717"/>
      <c r="K2006" s="577"/>
      <c r="L2006" s="717"/>
      <c r="M2006" s="717"/>
      <c r="N2006" s="717"/>
      <c r="O2006" s="717"/>
      <c r="P2006" s="717"/>
      <c r="Q2006" s="717"/>
      <c r="R2006" s="717"/>
      <c r="S2006" s="717"/>
      <c r="T2006" s="717"/>
      <c r="U2006" s="717"/>
      <c r="V2006" s="717"/>
      <c r="W2006" s="717"/>
      <c r="X2006" s="717"/>
      <c r="Y2006" s="717"/>
      <c r="Z2006" s="717"/>
      <c r="AA2006" s="717"/>
      <c r="AB2006" s="802">
        <v>247455146</v>
      </c>
      <c r="AC2006" s="802"/>
      <c r="AD2006" s="802"/>
      <c r="AE2006" s="802"/>
      <c r="AF2006" s="802"/>
      <c r="AG2006" s="217">
        <f t="shared" ref="AG2006" si="2356">SUM(AB2006:AF2006)</f>
        <v>247455146</v>
      </c>
      <c r="AH2006" s="217">
        <f t="shared" ref="AH2006" si="2357">AG2006+AA2006</f>
        <v>247455146</v>
      </c>
      <c r="AI2006" s="802"/>
      <c r="AJ2006" s="777"/>
    </row>
    <row r="2007" spans="1:36" ht="14">
      <c r="A2007" s="160"/>
      <c r="B2007" s="160"/>
      <c r="C2007" s="161"/>
      <c r="D2007" s="161"/>
      <c r="E2007" s="161"/>
      <c r="F2007" s="41"/>
      <c r="G2007" s="41"/>
      <c r="H2007" s="63"/>
      <c r="I2007" s="41"/>
      <c r="J2007" s="717"/>
      <c r="K2007" s="577"/>
      <c r="L2007" s="717"/>
      <c r="M2007" s="717"/>
      <c r="N2007" s="717"/>
      <c r="O2007" s="717"/>
      <c r="P2007" s="717"/>
      <c r="Q2007" s="717"/>
      <c r="R2007" s="717"/>
      <c r="S2007" s="717"/>
      <c r="T2007" s="717"/>
      <c r="U2007" s="717"/>
      <c r="V2007" s="717"/>
      <c r="W2007" s="717"/>
      <c r="X2007" s="717"/>
      <c r="Y2007" s="717"/>
      <c r="Z2007" s="717"/>
      <c r="AA2007" s="717"/>
      <c r="AB2007" s="802"/>
      <c r="AC2007" s="802"/>
      <c r="AD2007" s="802"/>
      <c r="AE2007" s="802"/>
      <c r="AF2007" s="802"/>
      <c r="AG2007" s="217"/>
      <c r="AH2007" s="217"/>
      <c r="AI2007" s="802"/>
      <c r="AJ2007" s="777"/>
    </row>
    <row r="2008" spans="1:36" ht="12.5" customHeight="1">
      <c r="A2008" s="160"/>
      <c r="B2008" s="160"/>
      <c r="C2008" s="161"/>
      <c r="D2008" s="161"/>
      <c r="E2008" s="161"/>
      <c r="F2008" s="64"/>
      <c r="G2008" s="64"/>
      <c r="H2008" s="65"/>
      <c r="I2008" s="64" t="s">
        <v>38</v>
      </c>
      <c r="J2008" s="170">
        <f t="shared" ref="J2008:K2008" si="2358">SUM(J2006:J2007)</f>
        <v>0</v>
      </c>
      <c r="K2008" s="212">
        <f t="shared" si="2358"/>
        <v>0</v>
      </c>
      <c r="L2008" s="170">
        <f>SUM(L2006:L2007)</f>
        <v>0</v>
      </c>
      <c r="M2008" s="170">
        <f t="shared" ref="M2008:T2008" si="2359">SUM(M2006:M2007)</f>
        <v>0</v>
      </c>
      <c r="N2008" s="170">
        <f t="shared" si="2359"/>
        <v>0</v>
      </c>
      <c r="O2008" s="170">
        <f t="shared" si="2359"/>
        <v>0</v>
      </c>
      <c r="P2008" s="170">
        <f t="shared" si="2359"/>
        <v>0</v>
      </c>
      <c r="Q2008" s="170">
        <f t="shared" si="2359"/>
        <v>0</v>
      </c>
      <c r="R2008" s="170">
        <f t="shared" si="2359"/>
        <v>0</v>
      </c>
      <c r="S2008" s="170">
        <f t="shared" si="2359"/>
        <v>0</v>
      </c>
      <c r="T2008" s="170">
        <f t="shared" si="2359"/>
        <v>0</v>
      </c>
      <c r="U2008" s="170"/>
      <c r="V2008" s="170"/>
      <c r="W2008" s="170"/>
      <c r="X2008" s="170"/>
      <c r="Y2008" s="170"/>
      <c r="Z2008" s="170">
        <f t="shared" ref="Z2008:AA2008" si="2360">SUM(Z2006:Z2007)</f>
        <v>0</v>
      </c>
      <c r="AA2008" s="170">
        <f t="shared" si="2360"/>
        <v>0</v>
      </c>
      <c r="AB2008" s="170">
        <f t="shared" ref="AB2008:AG2008" si="2361">SUM(AB2004:AB2006)</f>
        <v>314268036</v>
      </c>
      <c r="AC2008" s="170">
        <f t="shared" si="2361"/>
        <v>0</v>
      </c>
      <c r="AD2008" s="170">
        <f t="shared" si="2361"/>
        <v>0</v>
      </c>
      <c r="AE2008" s="170">
        <f t="shared" si="2361"/>
        <v>0</v>
      </c>
      <c r="AF2008" s="170">
        <f t="shared" si="2361"/>
        <v>0</v>
      </c>
      <c r="AG2008" s="170">
        <f t="shared" si="2361"/>
        <v>314268036</v>
      </c>
      <c r="AH2008" s="170">
        <f>SUM(AH2004:AH2006)</f>
        <v>314268036</v>
      </c>
      <c r="AI2008" s="170">
        <f t="shared" ref="AI2008" si="2362">SUM(AI2006:AI2007)</f>
        <v>0</v>
      </c>
      <c r="AJ2008" s="789"/>
    </row>
    <row r="2009" spans="1:36" ht="14">
      <c r="A2009" s="160"/>
      <c r="B2009" s="160"/>
      <c r="C2009" s="161"/>
      <c r="D2009" s="161"/>
      <c r="E2009" s="161"/>
      <c r="F2009" s="41"/>
      <c r="G2009" s="41"/>
      <c r="H2009" s="63"/>
      <c r="I2009" s="41"/>
      <c r="J2009" s="717"/>
      <c r="K2009" s="577"/>
      <c r="L2009" s="717"/>
      <c r="M2009" s="717"/>
      <c r="N2009" s="717"/>
      <c r="O2009" s="717"/>
      <c r="P2009" s="717"/>
      <c r="Q2009" s="717"/>
      <c r="R2009" s="717"/>
      <c r="S2009" s="717"/>
      <c r="T2009" s="717"/>
      <c r="U2009" s="717"/>
      <c r="V2009" s="717"/>
      <c r="W2009" s="717"/>
      <c r="X2009" s="717"/>
      <c r="Y2009" s="717"/>
      <c r="Z2009" s="717"/>
      <c r="AA2009" s="717"/>
      <c r="AB2009" s="717"/>
      <c r="AC2009" s="717"/>
      <c r="AD2009" s="717"/>
      <c r="AE2009" s="717"/>
      <c r="AF2009" s="717"/>
      <c r="AG2009" s="717"/>
      <c r="AH2009" s="717"/>
      <c r="AI2009" s="717"/>
      <c r="AJ2009" s="777"/>
    </row>
    <row r="2010" spans="1:36" ht="14">
      <c r="A2010" s="160"/>
      <c r="B2010" s="160">
        <v>6</v>
      </c>
      <c r="C2010" s="161"/>
      <c r="D2010" s="161"/>
      <c r="E2010" s="161"/>
      <c r="F2010" s="41"/>
      <c r="G2010" s="935" t="s">
        <v>711</v>
      </c>
      <c r="H2010" s="935"/>
      <c r="I2010" s="977"/>
      <c r="J2010" s="717"/>
      <c r="K2010" s="577"/>
      <c r="L2010" s="717"/>
      <c r="M2010" s="717"/>
      <c r="N2010" s="717"/>
      <c r="O2010" s="717"/>
      <c r="P2010" s="717"/>
      <c r="Q2010" s="717"/>
      <c r="R2010" s="717"/>
      <c r="S2010" s="717"/>
      <c r="T2010" s="717"/>
      <c r="U2010" s="717"/>
      <c r="V2010" s="717"/>
      <c r="W2010" s="717"/>
      <c r="X2010" s="717"/>
      <c r="Y2010" s="717"/>
      <c r="Z2010" s="717"/>
      <c r="AA2010" s="717"/>
      <c r="AB2010" s="717"/>
      <c r="AC2010" s="717"/>
      <c r="AD2010" s="717"/>
      <c r="AE2010" s="717"/>
      <c r="AF2010" s="717"/>
      <c r="AG2010" s="717"/>
      <c r="AH2010" s="717"/>
      <c r="AI2010" s="717"/>
      <c r="AJ2010" s="777"/>
    </row>
    <row r="2011" spans="1:36" ht="14">
      <c r="A2011" s="160"/>
      <c r="B2011" s="160"/>
      <c r="C2011" s="124">
        <v>1</v>
      </c>
      <c r="D2011" s="124"/>
      <c r="E2011" s="124"/>
      <c r="F2011" s="41"/>
      <c r="G2011" s="41"/>
      <c r="H2011" s="163" t="s">
        <v>35</v>
      </c>
      <c r="I2011" s="66"/>
      <c r="J2011" s="717"/>
      <c r="K2011" s="577"/>
      <c r="L2011" s="717"/>
      <c r="M2011" s="717"/>
      <c r="N2011" s="717"/>
      <c r="O2011" s="717"/>
      <c r="P2011" s="717"/>
      <c r="Q2011" s="717"/>
      <c r="R2011" s="717"/>
      <c r="S2011" s="717"/>
      <c r="T2011" s="717"/>
      <c r="U2011" s="717"/>
      <c r="V2011" s="717"/>
      <c r="W2011" s="717"/>
      <c r="X2011" s="717"/>
      <c r="Y2011" s="717"/>
      <c r="Z2011" s="717"/>
      <c r="AA2011" s="717"/>
      <c r="AB2011" s="802"/>
      <c r="AC2011" s="802"/>
      <c r="AD2011" s="802"/>
      <c r="AE2011" s="802"/>
      <c r="AF2011" s="802"/>
      <c r="AG2011" s="802"/>
      <c r="AH2011" s="802"/>
      <c r="AI2011" s="802"/>
      <c r="AJ2011" s="777"/>
    </row>
    <row r="2012" spans="1:36" ht="14">
      <c r="A2012" s="160"/>
      <c r="B2012" s="160"/>
      <c r="C2012" s="124"/>
      <c r="D2012" s="124">
        <v>3</v>
      </c>
      <c r="E2012" s="124" t="s">
        <v>199</v>
      </c>
      <c r="F2012" s="41"/>
      <c r="G2012" s="41"/>
      <c r="H2012" s="162"/>
      <c r="I2012" s="125" t="s">
        <v>116</v>
      </c>
      <c r="J2012" s="717"/>
      <c r="K2012" s="577"/>
      <c r="L2012" s="717"/>
      <c r="M2012" s="717"/>
      <c r="N2012" s="717"/>
      <c r="O2012" s="717"/>
      <c r="P2012" s="717"/>
      <c r="Q2012" s="717"/>
      <c r="R2012" s="717"/>
      <c r="S2012" s="717"/>
      <c r="T2012" s="717"/>
      <c r="U2012" s="717"/>
      <c r="V2012" s="717"/>
      <c r="W2012" s="717"/>
      <c r="X2012" s="717"/>
      <c r="Y2012" s="717"/>
      <c r="Z2012" s="717"/>
      <c r="AA2012" s="717"/>
      <c r="AB2012" s="802">
        <v>41456693</v>
      </c>
      <c r="AC2012" s="802"/>
      <c r="AD2012" s="802"/>
      <c r="AE2012" s="802"/>
      <c r="AF2012" s="802"/>
      <c r="AG2012" s="217">
        <f t="shared" ref="AG2012" si="2363">SUM(AB2012:AF2012)</f>
        <v>41456693</v>
      </c>
      <c r="AH2012" s="217">
        <f t="shared" ref="AH2012" si="2364">AG2012+AA2012</f>
        <v>41456693</v>
      </c>
      <c r="AI2012" s="802"/>
      <c r="AJ2012" s="777"/>
    </row>
    <row r="2013" spans="1:36" ht="14">
      <c r="A2013" s="160"/>
      <c r="B2013" s="160"/>
      <c r="C2013" s="124">
        <v>2</v>
      </c>
      <c r="D2013" s="124"/>
      <c r="E2013" s="124"/>
      <c r="F2013" s="41"/>
      <c r="G2013" s="41"/>
      <c r="H2013" s="162" t="s">
        <v>211</v>
      </c>
      <c r="I2013" s="125"/>
      <c r="J2013" s="717"/>
      <c r="K2013" s="577"/>
      <c r="L2013" s="717"/>
      <c r="M2013" s="717"/>
      <c r="N2013" s="717"/>
      <c r="O2013" s="717"/>
      <c r="P2013" s="717"/>
      <c r="Q2013" s="717"/>
      <c r="R2013" s="717"/>
      <c r="S2013" s="717"/>
      <c r="T2013" s="717"/>
      <c r="U2013" s="717"/>
      <c r="V2013" s="717"/>
      <c r="W2013" s="717"/>
      <c r="X2013" s="717"/>
      <c r="Y2013" s="717"/>
      <c r="Z2013" s="717"/>
      <c r="AA2013" s="717"/>
      <c r="AB2013" s="802"/>
      <c r="AC2013" s="802"/>
      <c r="AD2013" s="802"/>
      <c r="AE2013" s="802"/>
      <c r="AF2013" s="802"/>
      <c r="AG2013" s="217"/>
      <c r="AH2013" s="217"/>
      <c r="AI2013" s="802"/>
      <c r="AJ2013" s="777"/>
    </row>
    <row r="2014" spans="1:36" ht="14">
      <c r="A2014" s="160"/>
      <c r="B2014" s="160"/>
      <c r="C2014" s="124"/>
      <c r="D2014" s="124">
        <v>6</v>
      </c>
      <c r="E2014" s="124" t="s">
        <v>199</v>
      </c>
      <c r="F2014" s="41"/>
      <c r="G2014" s="41"/>
      <c r="H2014" s="163"/>
      <c r="I2014" s="125" t="s">
        <v>213</v>
      </c>
      <c r="J2014" s="717"/>
      <c r="K2014" s="577"/>
      <c r="L2014" s="717"/>
      <c r="M2014" s="717"/>
      <c r="N2014" s="717"/>
      <c r="O2014" s="717"/>
      <c r="P2014" s="717"/>
      <c r="Q2014" s="717"/>
      <c r="R2014" s="717"/>
      <c r="S2014" s="717"/>
      <c r="T2014" s="717"/>
      <c r="U2014" s="717"/>
      <c r="V2014" s="717"/>
      <c r="W2014" s="717"/>
      <c r="X2014" s="717"/>
      <c r="Y2014" s="717"/>
      <c r="Z2014" s="717"/>
      <c r="AA2014" s="717"/>
      <c r="AB2014" s="802">
        <v>153543307</v>
      </c>
      <c r="AC2014" s="802"/>
      <c r="AD2014" s="802"/>
      <c r="AE2014" s="802"/>
      <c r="AF2014" s="802"/>
      <c r="AG2014" s="217">
        <f t="shared" ref="AG2014" si="2365">SUM(AB2014:AF2014)</f>
        <v>153543307</v>
      </c>
      <c r="AH2014" s="217">
        <f t="shared" ref="AH2014" si="2366">AG2014+AA2014</f>
        <v>153543307</v>
      </c>
      <c r="AI2014" s="802"/>
      <c r="AJ2014" s="777"/>
    </row>
    <row r="2015" spans="1:36" ht="14">
      <c r="A2015" s="160"/>
      <c r="B2015" s="160"/>
      <c r="C2015" s="161"/>
      <c r="D2015" s="161"/>
      <c r="E2015" s="161"/>
      <c r="F2015" s="41"/>
      <c r="G2015" s="41"/>
      <c r="H2015" s="63"/>
      <c r="I2015" s="41"/>
      <c r="J2015" s="717"/>
      <c r="K2015" s="577"/>
      <c r="L2015" s="717"/>
      <c r="M2015" s="717"/>
      <c r="N2015" s="717"/>
      <c r="O2015" s="717"/>
      <c r="P2015" s="717"/>
      <c r="Q2015" s="717"/>
      <c r="R2015" s="717"/>
      <c r="S2015" s="717"/>
      <c r="T2015" s="717"/>
      <c r="U2015" s="717"/>
      <c r="V2015" s="717"/>
      <c r="W2015" s="717"/>
      <c r="X2015" s="717"/>
      <c r="Y2015" s="717"/>
      <c r="Z2015" s="717"/>
      <c r="AA2015" s="717"/>
      <c r="AB2015" s="802"/>
      <c r="AC2015" s="802"/>
      <c r="AD2015" s="802"/>
      <c r="AE2015" s="802"/>
      <c r="AF2015" s="802"/>
      <c r="AG2015" s="217"/>
      <c r="AH2015" s="217"/>
      <c r="AI2015" s="802"/>
      <c r="AJ2015" s="777"/>
    </row>
    <row r="2016" spans="1:36" ht="12.5" customHeight="1">
      <c r="A2016" s="160"/>
      <c r="B2016" s="160"/>
      <c r="C2016" s="161"/>
      <c r="D2016" s="161"/>
      <c r="E2016" s="161"/>
      <c r="F2016" s="64"/>
      <c r="G2016" s="64"/>
      <c r="H2016" s="65"/>
      <c r="I2016" s="64" t="s">
        <v>38</v>
      </c>
      <c r="J2016" s="170">
        <f t="shared" ref="J2016:K2016" si="2367">SUM(J2014:J2015)</f>
        <v>0</v>
      </c>
      <c r="K2016" s="212">
        <f t="shared" si="2367"/>
        <v>0</v>
      </c>
      <c r="L2016" s="170">
        <f>SUM(L2014:L2015)</f>
        <v>0</v>
      </c>
      <c r="M2016" s="170">
        <f t="shared" ref="M2016:T2016" si="2368">SUM(M2014:M2015)</f>
        <v>0</v>
      </c>
      <c r="N2016" s="170">
        <f t="shared" si="2368"/>
        <v>0</v>
      </c>
      <c r="O2016" s="170">
        <f t="shared" si="2368"/>
        <v>0</v>
      </c>
      <c r="P2016" s="170">
        <f t="shared" si="2368"/>
        <v>0</v>
      </c>
      <c r="Q2016" s="170">
        <f t="shared" si="2368"/>
        <v>0</v>
      </c>
      <c r="R2016" s="170">
        <f t="shared" si="2368"/>
        <v>0</v>
      </c>
      <c r="S2016" s="170">
        <f t="shared" si="2368"/>
        <v>0</v>
      </c>
      <c r="T2016" s="170">
        <f t="shared" si="2368"/>
        <v>0</v>
      </c>
      <c r="U2016" s="170"/>
      <c r="V2016" s="170"/>
      <c r="W2016" s="170"/>
      <c r="X2016" s="170"/>
      <c r="Y2016" s="170"/>
      <c r="Z2016" s="170">
        <f t="shared" ref="Z2016:AA2016" si="2369">SUM(Z2014:Z2015)</f>
        <v>0</v>
      </c>
      <c r="AA2016" s="170">
        <f t="shared" si="2369"/>
        <v>0</v>
      </c>
      <c r="AB2016" s="170">
        <f t="shared" ref="AB2016:AG2016" si="2370">SUM(AB2012:AB2014)</f>
        <v>195000000</v>
      </c>
      <c r="AC2016" s="170">
        <f t="shared" si="2370"/>
        <v>0</v>
      </c>
      <c r="AD2016" s="170">
        <f t="shared" si="2370"/>
        <v>0</v>
      </c>
      <c r="AE2016" s="170">
        <f t="shared" si="2370"/>
        <v>0</v>
      </c>
      <c r="AF2016" s="170">
        <f t="shared" si="2370"/>
        <v>0</v>
      </c>
      <c r="AG2016" s="170">
        <f t="shared" si="2370"/>
        <v>195000000</v>
      </c>
      <c r="AH2016" s="170">
        <f>SUM(AH2012:AH2014)</f>
        <v>195000000</v>
      </c>
      <c r="AI2016" s="170">
        <f t="shared" ref="AI2016" si="2371">SUM(AI2014:AI2015)</f>
        <v>0</v>
      </c>
      <c r="AJ2016" s="789"/>
    </row>
    <row r="2017" spans="1:36" ht="14">
      <c r="A2017" s="160"/>
      <c r="B2017" s="160"/>
      <c r="C2017" s="161"/>
      <c r="D2017" s="161"/>
      <c r="E2017" s="161"/>
      <c r="F2017" s="41"/>
      <c r="G2017" s="41"/>
      <c r="H2017" s="63"/>
      <c r="I2017" s="41"/>
      <c r="J2017" s="717"/>
      <c r="K2017" s="577"/>
      <c r="L2017" s="717"/>
      <c r="M2017" s="717"/>
      <c r="N2017" s="717"/>
      <c r="O2017" s="717"/>
      <c r="P2017" s="717"/>
      <c r="Q2017" s="717"/>
      <c r="R2017" s="717"/>
      <c r="S2017" s="717"/>
      <c r="T2017" s="717"/>
      <c r="U2017" s="717"/>
      <c r="V2017" s="717"/>
      <c r="W2017" s="717"/>
      <c r="X2017" s="717"/>
      <c r="Y2017" s="717"/>
      <c r="Z2017" s="717"/>
      <c r="AA2017" s="717"/>
      <c r="AB2017" s="717"/>
      <c r="AC2017" s="717"/>
      <c r="AD2017" s="717"/>
      <c r="AE2017" s="717"/>
      <c r="AF2017" s="717"/>
      <c r="AG2017" s="717"/>
      <c r="AH2017" s="717"/>
      <c r="AI2017" s="717"/>
      <c r="AJ2017" s="777"/>
    </row>
    <row r="2018" spans="1:36" ht="14">
      <c r="A2018" s="160"/>
      <c r="B2018" s="160">
        <v>7</v>
      </c>
      <c r="C2018" s="161"/>
      <c r="D2018" s="161"/>
      <c r="E2018" s="161"/>
      <c r="F2018" s="41"/>
      <c r="G2018" s="935" t="s">
        <v>712</v>
      </c>
      <c r="H2018" s="935"/>
      <c r="I2018" s="977"/>
      <c r="J2018" s="717"/>
      <c r="K2018" s="577"/>
      <c r="L2018" s="717"/>
      <c r="M2018" s="717"/>
      <c r="N2018" s="717"/>
      <c r="O2018" s="717"/>
      <c r="P2018" s="717"/>
      <c r="Q2018" s="717"/>
      <c r="R2018" s="717"/>
      <c r="S2018" s="717"/>
      <c r="T2018" s="717"/>
      <c r="U2018" s="717"/>
      <c r="V2018" s="717"/>
      <c r="W2018" s="717"/>
      <c r="X2018" s="717"/>
      <c r="Y2018" s="717"/>
      <c r="Z2018" s="717"/>
      <c r="AA2018" s="717"/>
      <c r="AB2018" s="717"/>
      <c r="AC2018" s="717"/>
      <c r="AD2018" s="717"/>
      <c r="AE2018" s="717"/>
      <c r="AF2018" s="717"/>
      <c r="AG2018" s="717"/>
      <c r="AH2018" s="717"/>
      <c r="AI2018" s="717"/>
      <c r="AJ2018" s="777"/>
    </row>
    <row r="2019" spans="1:36" ht="14">
      <c r="A2019" s="160"/>
      <c r="B2019" s="160"/>
      <c r="C2019" s="161">
        <v>1</v>
      </c>
      <c r="D2019" s="161"/>
      <c r="E2019" s="161"/>
      <c r="F2019" s="41"/>
      <c r="G2019" s="41"/>
      <c r="H2019" s="63" t="s">
        <v>35</v>
      </c>
      <c r="I2019" s="41"/>
      <c r="J2019" s="717"/>
      <c r="K2019" s="577"/>
      <c r="L2019" s="717"/>
      <c r="M2019" s="717"/>
      <c r="N2019" s="717"/>
      <c r="O2019" s="717"/>
      <c r="P2019" s="717"/>
      <c r="Q2019" s="717"/>
      <c r="R2019" s="717"/>
      <c r="S2019" s="717"/>
      <c r="T2019" s="717"/>
      <c r="U2019" s="717"/>
      <c r="V2019" s="717"/>
      <c r="W2019" s="717"/>
      <c r="X2019" s="717"/>
      <c r="Y2019" s="717"/>
      <c r="Z2019" s="717"/>
      <c r="AA2019" s="717"/>
      <c r="AB2019" s="717"/>
      <c r="AC2019" s="717"/>
      <c r="AD2019" s="717"/>
      <c r="AE2019" s="717"/>
      <c r="AF2019" s="717"/>
      <c r="AG2019" s="717"/>
      <c r="AH2019" s="717"/>
      <c r="AI2019" s="717"/>
      <c r="AJ2019" s="777"/>
    </row>
    <row r="2020" spans="1:36" ht="14">
      <c r="A2020" s="160"/>
      <c r="B2020" s="160"/>
      <c r="C2020" s="161"/>
      <c r="D2020" s="124">
        <v>1</v>
      </c>
      <c r="E2020" s="124" t="s">
        <v>199</v>
      </c>
      <c r="F2020" s="41"/>
      <c r="G2020" s="41"/>
      <c r="H2020" s="163"/>
      <c r="I2020" s="66" t="s">
        <v>180</v>
      </c>
      <c r="J2020" s="717"/>
      <c r="K2020" s="577"/>
      <c r="L2020" s="717"/>
      <c r="M2020" s="717"/>
      <c r="N2020" s="717"/>
      <c r="O2020" s="717"/>
      <c r="P2020" s="717"/>
      <c r="Q2020" s="717"/>
      <c r="R2020" s="717"/>
      <c r="S2020" s="717"/>
      <c r="T2020" s="717"/>
      <c r="U2020" s="717"/>
      <c r="V2020" s="717"/>
      <c r="W2020" s="717"/>
      <c r="X2020" s="717"/>
      <c r="Y2020" s="717"/>
      <c r="Z2020" s="717"/>
      <c r="AA2020" s="717"/>
      <c r="AB2020" s="802">
        <v>18410042</v>
      </c>
      <c r="AC2020" s="717"/>
      <c r="AD2020" s="717"/>
      <c r="AE2020" s="717"/>
      <c r="AF2020" s="717"/>
      <c r="AG2020" s="217">
        <f t="shared" ref="AG2020:AG2022" si="2372">SUM(AB2020:AF2020)</f>
        <v>18410042</v>
      </c>
      <c r="AH2020" s="217">
        <f t="shared" ref="AH2020:AH2022" si="2373">AG2020+AA2020</f>
        <v>18410042</v>
      </c>
      <c r="AI2020" s="717"/>
      <c r="AJ2020" s="777"/>
    </row>
    <row r="2021" spans="1:36" ht="14">
      <c r="A2021" s="160"/>
      <c r="B2021" s="160"/>
      <c r="C2021" s="161"/>
      <c r="D2021" s="124">
        <v>2</v>
      </c>
      <c r="E2021" s="124" t="s">
        <v>199</v>
      </c>
      <c r="F2021" s="41"/>
      <c r="G2021" s="41"/>
      <c r="H2021" s="163"/>
      <c r="I2021" s="66" t="s">
        <v>182</v>
      </c>
      <c r="J2021" s="717"/>
      <c r="K2021" s="577"/>
      <c r="L2021" s="717"/>
      <c r="M2021" s="717"/>
      <c r="N2021" s="717"/>
      <c r="O2021" s="717"/>
      <c r="P2021" s="717"/>
      <c r="Q2021" s="717"/>
      <c r="R2021" s="717"/>
      <c r="S2021" s="717"/>
      <c r="T2021" s="717"/>
      <c r="U2021" s="717"/>
      <c r="V2021" s="717"/>
      <c r="W2021" s="717"/>
      <c r="X2021" s="717"/>
      <c r="Y2021" s="717"/>
      <c r="Z2021" s="717"/>
      <c r="AA2021" s="717"/>
      <c r="AB2021" s="802">
        <v>3589958</v>
      </c>
      <c r="AC2021" s="717"/>
      <c r="AD2021" s="717"/>
      <c r="AE2021" s="717"/>
      <c r="AF2021" s="717"/>
      <c r="AG2021" s="217">
        <f t="shared" si="2372"/>
        <v>3589958</v>
      </c>
      <c r="AH2021" s="217">
        <f t="shared" si="2373"/>
        <v>3589958</v>
      </c>
      <c r="AI2021" s="717"/>
      <c r="AJ2021" s="777"/>
    </row>
    <row r="2022" spans="1:36" ht="14">
      <c r="A2022" s="160"/>
      <c r="B2022" s="160"/>
      <c r="C2022" s="161"/>
      <c r="D2022" s="124">
        <v>3</v>
      </c>
      <c r="E2022" s="124" t="s">
        <v>199</v>
      </c>
      <c r="F2022" s="41"/>
      <c r="G2022" s="41"/>
      <c r="H2022" s="162"/>
      <c r="I2022" s="125" t="s">
        <v>116</v>
      </c>
      <c r="J2022" s="717"/>
      <c r="K2022" s="577"/>
      <c r="L2022" s="717"/>
      <c r="M2022" s="717"/>
      <c r="N2022" s="717"/>
      <c r="O2022" s="717"/>
      <c r="P2022" s="717"/>
      <c r="Q2022" s="717"/>
      <c r="R2022" s="717"/>
      <c r="S2022" s="717"/>
      <c r="T2022" s="717"/>
      <c r="U2022" s="717"/>
      <c r="V2022" s="717"/>
      <c r="W2022" s="717"/>
      <c r="X2022" s="717"/>
      <c r="Y2022" s="717"/>
      <c r="Z2022" s="717"/>
      <c r="AA2022" s="717"/>
      <c r="AB2022" s="802">
        <v>9000000</v>
      </c>
      <c r="AC2022" s="717"/>
      <c r="AD2022" s="717"/>
      <c r="AE2022" s="717"/>
      <c r="AF2022" s="717"/>
      <c r="AG2022" s="217">
        <f t="shared" si="2372"/>
        <v>9000000</v>
      </c>
      <c r="AH2022" s="217">
        <f t="shared" si="2373"/>
        <v>9000000</v>
      </c>
      <c r="AI2022" s="717"/>
      <c r="AJ2022" s="777"/>
    </row>
    <row r="2023" spans="1:36" ht="14">
      <c r="A2023" s="160"/>
      <c r="B2023" s="160"/>
      <c r="C2023" s="161"/>
      <c r="D2023" s="161"/>
      <c r="E2023" s="161"/>
      <c r="F2023" s="41"/>
      <c r="G2023" s="41"/>
      <c r="H2023" s="63"/>
      <c r="I2023" s="41"/>
      <c r="J2023" s="717"/>
      <c r="K2023" s="577"/>
      <c r="L2023" s="717"/>
      <c r="M2023" s="717"/>
      <c r="N2023" s="717"/>
      <c r="O2023" s="717"/>
      <c r="P2023" s="717"/>
      <c r="Q2023" s="717"/>
      <c r="R2023" s="717"/>
      <c r="S2023" s="717"/>
      <c r="T2023" s="717"/>
      <c r="U2023" s="717"/>
      <c r="V2023" s="717"/>
      <c r="W2023" s="717"/>
      <c r="X2023" s="717"/>
      <c r="Y2023" s="717"/>
      <c r="Z2023" s="717"/>
      <c r="AA2023" s="717"/>
      <c r="AB2023" s="802" t="s">
        <v>713</v>
      </c>
      <c r="AC2023" s="717"/>
      <c r="AD2023" s="717"/>
      <c r="AE2023" s="717"/>
      <c r="AF2023" s="717"/>
      <c r="AG2023" s="717"/>
      <c r="AH2023" s="717"/>
      <c r="AI2023" s="717"/>
      <c r="AJ2023" s="777"/>
    </row>
    <row r="2024" spans="1:36" ht="12.5" customHeight="1">
      <c r="A2024" s="160"/>
      <c r="B2024" s="160"/>
      <c r="C2024" s="161"/>
      <c r="D2024" s="161"/>
      <c r="E2024" s="161"/>
      <c r="F2024" s="64"/>
      <c r="G2024" s="64"/>
      <c r="H2024" s="65"/>
      <c r="I2024" s="64" t="s">
        <v>38</v>
      </c>
      <c r="J2024" s="170">
        <f t="shared" ref="J2024:K2024" si="2374">SUM(J2022:J2023)</f>
        <v>0</v>
      </c>
      <c r="K2024" s="212">
        <f t="shared" si="2374"/>
        <v>0</v>
      </c>
      <c r="L2024" s="170">
        <f>SUM(L2022:L2023)</f>
        <v>0</v>
      </c>
      <c r="M2024" s="170">
        <f t="shared" ref="M2024:T2024" si="2375">SUM(M2022:M2023)</f>
        <v>0</v>
      </c>
      <c r="N2024" s="170">
        <f t="shared" si="2375"/>
        <v>0</v>
      </c>
      <c r="O2024" s="170">
        <f t="shared" si="2375"/>
        <v>0</v>
      </c>
      <c r="P2024" s="170">
        <f t="shared" si="2375"/>
        <v>0</v>
      </c>
      <c r="Q2024" s="170">
        <f t="shared" si="2375"/>
        <v>0</v>
      </c>
      <c r="R2024" s="170">
        <f t="shared" si="2375"/>
        <v>0</v>
      </c>
      <c r="S2024" s="170">
        <f t="shared" si="2375"/>
        <v>0</v>
      </c>
      <c r="T2024" s="170">
        <f t="shared" si="2375"/>
        <v>0</v>
      </c>
      <c r="U2024" s="170"/>
      <c r="V2024" s="170"/>
      <c r="W2024" s="170"/>
      <c r="X2024" s="170"/>
      <c r="Y2024" s="170"/>
      <c r="Z2024" s="170">
        <f t="shared" ref="Z2024:AA2024" si="2376">SUM(Z2022:Z2023)</f>
        <v>0</v>
      </c>
      <c r="AA2024" s="170">
        <f t="shared" si="2376"/>
        <v>0</v>
      </c>
      <c r="AB2024" s="170">
        <f t="shared" ref="AB2024:AG2024" si="2377">SUM(AB2020:AB2022)</f>
        <v>31000000</v>
      </c>
      <c r="AC2024" s="170">
        <f t="shared" si="2377"/>
        <v>0</v>
      </c>
      <c r="AD2024" s="170">
        <f t="shared" si="2377"/>
        <v>0</v>
      </c>
      <c r="AE2024" s="170">
        <f t="shared" si="2377"/>
        <v>0</v>
      </c>
      <c r="AF2024" s="170">
        <f t="shared" si="2377"/>
        <v>0</v>
      </c>
      <c r="AG2024" s="170">
        <f t="shared" si="2377"/>
        <v>31000000</v>
      </c>
      <c r="AH2024" s="170">
        <f>SUM(AH2020:AH2022)</f>
        <v>31000000</v>
      </c>
      <c r="AI2024" s="170">
        <f t="shared" ref="AI2024" si="2378">SUM(AI2022:AI2023)</f>
        <v>0</v>
      </c>
      <c r="AJ2024" s="789"/>
    </row>
    <row r="2025" spans="1:36" ht="14">
      <c r="A2025" s="160"/>
      <c r="B2025" s="160"/>
      <c r="C2025" s="161"/>
      <c r="D2025" s="161"/>
      <c r="E2025" s="161"/>
      <c r="F2025" s="41"/>
      <c r="G2025" s="41"/>
      <c r="H2025" s="63"/>
      <c r="I2025" s="41"/>
      <c r="J2025" s="717"/>
      <c r="K2025" s="577"/>
      <c r="L2025" s="717"/>
      <c r="M2025" s="717"/>
      <c r="N2025" s="717"/>
      <c r="O2025" s="717"/>
      <c r="P2025" s="717"/>
      <c r="Q2025" s="717"/>
      <c r="R2025" s="717"/>
      <c r="S2025" s="717"/>
      <c r="T2025" s="717"/>
      <c r="U2025" s="717"/>
      <c r="V2025" s="717"/>
      <c r="W2025" s="717"/>
      <c r="X2025" s="717"/>
      <c r="Y2025" s="717"/>
      <c r="Z2025" s="717"/>
      <c r="AA2025" s="717"/>
      <c r="AB2025" s="717"/>
      <c r="AC2025" s="717"/>
      <c r="AD2025" s="717"/>
      <c r="AE2025" s="717"/>
      <c r="AF2025" s="717"/>
      <c r="AG2025" s="717"/>
      <c r="AH2025" s="717"/>
      <c r="AI2025" s="717"/>
      <c r="AJ2025" s="777"/>
    </row>
    <row r="2026" spans="1:36" ht="14">
      <c r="A2026" s="40"/>
      <c r="B2026" s="40"/>
      <c r="C2026" s="124"/>
      <c r="D2026" s="124"/>
      <c r="E2026" s="124"/>
      <c r="F2026" s="42"/>
      <c r="G2026" s="42"/>
      <c r="H2026" s="165"/>
      <c r="I2026" s="166" t="s">
        <v>37</v>
      </c>
      <c r="J2026" s="528"/>
      <c r="K2026" s="529">
        <f>SUM(K2020:K2025)</f>
        <v>0</v>
      </c>
      <c r="L2026" s="530">
        <f>SUM(L2024)</f>
        <v>0</v>
      </c>
      <c r="M2026" s="530">
        <f t="shared" ref="M2026:T2026" si="2379">SUM(M2024)</f>
        <v>0</v>
      </c>
      <c r="N2026" s="530">
        <f t="shared" si="2379"/>
        <v>0</v>
      </c>
      <c r="O2026" s="530">
        <f t="shared" si="2379"/>
        <v>0</v>
      </c>
      <c r="P2026" s="530">
        <f t="shared" si="2379"/>
        <v>0</v>
      </c>
      <c r="Q2026" s="530">
        <f t="shared" si="2379"/>
        <v>0</v>
      </c>
      <c r="R2026" s="530">
        <f t="shared" si="2379"/>
        <v>0</v>
      </c>
      <c r="S2026" s="530">
        <f t="shared" si="2379"/>
        <v>0</v>
      </c>
      <c r="T2026" s="530">
        <f t="shared" si="2379"/>
        <v>0</v>
      </c>
      <c r="U2026" s="530"/>
      <c r="V2026" s="530"/>
      <c r="W2026" s="530">
        <f t="shared" ref="W2026" si="2380">SUM(W2024)</f>
        <v>0</v>
      </c>
      <c r="X2026" s="530"/>
      <c r="Y2026" s="530"/>
      <c r="Z2026" s="530">
        <f t="shared" ref="Z2026:AA2026" si="2381">SUM(Z2024)</f>
        <v>0</v>
      </c>
      <c r="AA2026" s="530">
        <f t="shared" si="2381"/>
        <v>0</v>
      </c>
      <c r="AB2026" s="530">
        <f>SUM(AB1976:AB2024)/2</f>
        <v>1145000000</v>
      </c>
      <c r="AC2026" s="530">
        <f t="shared" ref="AC2026:AH2026" si="2382">SUM(AC1976:AC2024)/2</f>
        <v>0</v>
      </c>
      <c r="AD2026" s="530">
        <f t="shared" si="2382"/>
        <v>0</v>
      </c>
      <c r="AE2026" s="530">
        <f t="shared" si="2382"/>
        <v>0</v>
      </c>
      <c r="AF2026" s="530">
        <f t="shared" si="2382"/>
        <v>0</v>
      </c>
      <c r="AG2026" s="530">
        <f t="shared" si="2382"/>
        <v>1145000000</v>
      </c>
      <c r="AH2026" s="530">
        <f t="shared" si="2382"/>
        <v>1145000000</v>
      </c>
      <c r="AI2026" s="530">
        <f t="shared" ref="AI2026" si="2383">SUM(AI2024)</f>
        <v>0</v>
      </c>
      <c r="AJ2026" s="776">
        <f>AI2026/AH2026*100</f>
        <v>0</v>
      </c>
    </row>
    <row r="2027" spans="1:36" ht="14">
      <c r="A2027" s="160"/>
      <c r="B2027" s="160"/>
      <c r="C2027" s="161"/>
      <c r="D2027" s="161"/>
      <c r="E2027" s="161"/>
      <c r="F2027" s="41"/>
      <c r="G2027" s="41"/>
      <c r="H2027" s="63"/>
      <c r="I2027" s="41"/>
      <c r="J2027" s="717"/>
      <c r="K2027" s="577"/>
      <c r="L2027" s="717"/>
      <c r="M2027" s="717"/>
      <c r="N2027" s="717"/>
      <c r="O2027" s="717"/>
      <c r="P2027" s="717"/>
      <c r="Q2027" s="717"/>
      <c r="R2027" s="717"/>
      <c r="S2027" s="717"/>
      <c r="T2027" s="717"/>
      <c r="U2027" s="717"/>
      <c r="V2027" s="717"/>
      <c r="W2027" s="717"/>
      <c r="X2027" s="717"/>
      <c r="Y2027" s="717"/>
      <c r="Z2027" s="717"/>
      <c r="AA2027" s="717"/>
      <c r="AB2027" s="717"/>
      <c r="AC2027" s="717"/>
      <c r="AD2027" s="717"/>
      <c r="AE2027" s="717"/>
      <c r="AF2027" s="717"/>
      <c r="AG2027" s="717"/>
      <c r="AH2027" s="717"/>
      <c r="AI2027" s="717"/>
      <c r="AJ2027" s="777"/>
    </row>
    <row r="2028" spans="1:36" ht="32.5" customHeight="1">
      <c r="A2028" s="160">
        <v>238</v>
      </c>
      <c r="B2028" s="160"/>
      <c r="C2028" s="161"/>
      <c r="D2028" s="161"/>
      <c r="E2028" s="161"/>
      <c r="F2028" s="976" t="s">
        <v>714</v>
      </c>
      <c r="G2028" s="935"/>
      <c r="H2028" s="935"/>
      <c r="I2028" s="977"/>
      <c r="J2028" s="717"/>
      <c r="K2028" s="577"/>
      <c r="L2028" s="717"/>
      <c r="M2028" s="717"/>
      <c r="N2028" s="717"/>
      <c r="O2028" s="717"/>
      <c r="P2028" s="717"/>
      <c r="Q2028" s="717"/>
      <c r="R2028" s="717"/>
      <c r="S2028" s="717"/>
      <c r="T2028" s="717"/>
      <c r="U2028" s="717"/>
      <c r="V2028" s="717"/>
      <c r="W2028" s="717"/>
      <c r="X2028" s="717"/>
      <c r="Y2028" s="717"/>
      <c r="Z2028" s="717"/>
      <c r="AA2028" s="717"/>
      <c r="AB2028" s="717"/>
      <c r="AC2028" s="717"/>
      <c r="AD2028" s="717"/>
      <c r="AE2028" s="717"/>
      <c r="AF2028" s="717"/>
      <c r="AG2028" s="717"/>
      <c r="AH2028" s="717"/>
      <c r="AI2028" s="717"/>
      <c r="AJ2028" s="777"/>
    </row>
    <row r="2029" spans="1:36" ht="14">
      <c r="A2029" s="160"/>
      <c r="B2029" s="160"/>
      <c r="C2029" s="124">
        <v>2</v>
      </c>
      <c r="D2029" s="124"/>
      <c r="E2029" s="124"/>
      <c r="F2029" s="41"/>
      <c r="G2029" s="41"/>
      <c r="H2029" s="162" t="s">
        <v>211</v>
      </c>
      <c r="I2029" s="125"/>
      <c r="J2029" s="717"/>
      <c r="K2029" s="577"/>
      <c r="L2029" s="717"/>
      <c r="M2029" s="717"/>
      <c r="N2029" s="717"/>
      <c r="O2029" s="717"/>
      <c r="P2029" s="717"/>
      <c r="Q2029" s="717"/>
      <c r="R2029" s="717"/>
      <c r="S2029" s="717"/>
      <c r="T2029" s="717"/>
      <c r="U2029" s="717"/>
      <c r="V2029" s="717"/>
      <c r="W2029" s="717"/>
      <c r="X2029" s="717"/>
      <c r="Y2029" s="717"/>
      <c r="Z2029" s="717"/>
      <c r="AA2029" s="717"/>
      <c r="AB2029" s="717"/>
      <c r="AC2029" s="717"/>
      <c r="AD2029" s="717"/>
      <c r="AE2029" s="717"/>
      <c r="AF2029" s="717"/>
      <c r="AG2029" s="717"/>
      <c r="AH2029" s="717"/>
      <c r="AI2029" s="717"/>
      <c r="AJ2029" s="777"/>
    </row>
    <row r="2030" spans="1:36" ht="14">
      <c r="A2030" s="161"/>
      <c r="B2030" s="161"/>
      <c r="C2030" s="124"/>
      <c r="D2030" s="124">
        <v>6</v>
      </c>
      <c r="E2030" s="124" t="s">
        <v>198</v>
      </c>
      <c r="F2030" s="66"/>
      <c r="G2030" s="66"/>
      <c r="H2030" s="163"/>
      <c r="I2030" s="125" t="s">
        <v>213</v>
      </c>
      <c r="J2030" s="526"/>
      <c r="K2030" s="576"/>
      <c r="L2030" s="526"/>
      <c r="M2030" s="526"/>
      <c r="N2030" s="526"/>
      <c r="O2030" s="526"/>
      <c r="P2030" s="526"/>
      <c r="Q2030" s="526"/>
      <c r="R2030" s="526"/>
      <c r="S2030" s="526"/>
      <c r="T2030" s="526"/>
      <c r="U2030" s="526"/>
      <c r="V2030" s="526"/>
      <c r="W2030" s="526"/>
      <c r="X2030" s="526"/>
      <c r="Y2030" s="526"/>
      <c r="Z2030" s="526"/>
      <c r="AA2030" s="526"/>
      <c r="AB2030" s="526"/>
      <c r="AC2030" s="526"/>
      <c r="AD2030" s="526">
        <v>600000</v>
      </c>
      <c r="AE2030" s="526"/>
      <c r="AF2030" s="526"/>
      <c r="AG2030" s="217">
        <f t="shared" ref="AG2030" si="2384">SUM(AB2030:AF2030)</f>
        <v>600000</v>
      </c>
      <c r="AH2030" s="217">
        <f t="shared" ref="AH2030" si="2385">AG2030+AA2030</f>
        <v>600000</v>
      </c>
      <c r="AI2030" s="526"/>
      <c r="AJ2030" s="803"/>
    </row>
    <row r="2031" spans="1:36" ht="14">
      <c r="A2031" s="160"/>
      <c r="B2031" s="160"/>
      <c r="C2031" s="161"/>
      <c r="D2031" s="161"/>
      <c r="E2031" s="161"/>
      <c r="F2031" s="41"/>
      <c r="G2031" s="41"/>
      <c r="H2031" s="63"/>
      <c r="I2031" s="41"/>
      <c r="J2031" s="717"/>
      <c r="K2031" s="577"/>
      <c r="L2031" s="717"/>
      <c r="M2031" s="717"/>
      <c r="N2031" s="717"/>
      <c r="O2031" s="717"/>
      <c r="P2031" s="717"/>
      <c r="Q2031" s="717"/>
      <c r="R2031" s="717"/>
      <c r="S2031" s="717"/>
      <c r="T2031" s="717"/>
      <c r="U2031" s="717"/>
      <c r="V2031" s="717"/>
      <c r="W2031" s="717"/>
      <c r="X2031" s="717"/>
      <c r="Y2031" s="717"/>
      <c r="Z2031" s="717"/>
      <c r="AA2031" s="717"/>
      <c r="AB2031" s="717"/>
      <c r="AC2031" s="717"/>
      <c r="AD2031" s="717"/>
      <c r="AE2031" s="717"/>
      <c r="AF2031" s="717"/>
      <c r="AG2031" s="717"/>
      <c r="AH2031" s="717"/>
      <c r="AI2031" s="717"/>
      <c r="AJ2031" s="777"/>
    </row>
    <row r="2032" spans="1:36" ht="14">
      <c r="A2032" s="40"/>
      <c r="B2032" s="40"/>
      <c r="C2032" s="124"/>
      <c r="D2032" s="124"/>
      <c r="E2032" s="124"/>
      <c r="F2032" s="42"/>
      <c r="G2032" s="42"/>
      <c r="H2032" s="165"/>
      <c r="I2032" s="166" t="s">
        <v>37</v>
      </c>
      <c r="J2032" s="528"/>
      <c r="K2032" s="529">
        <f>SUM(K2026:K2031)</f>
        <v>0</v>
      </c>
      <c r="L2032" s="530">
        <f>SUM(L2030)</f>
        <v>0</v>
      </c>
      <c r="M2032" s="530">
        <f t="shared" ref="M2032:T2032" si="2386">SUM(M2030)</f>
        <v>0</v>
      </c>
      <c r="N2032" s="530">
        <f t="shared" si="2386"/>
        <v>0</v>
      </c>
      <c r="O2032" s="530">
        <f t="shared" si="2386"/>
        <v>0</v>
      </c>
      <c r="P2032" s="530">
        <f t="shared" si="2386"/>
        <v>0</v>
      </c>
      <c r="Q2032" s="530">
        <f t="shared" si="2386"/>
        <v>0</v>
      </c>
      <c r="R2032" s="530">
        <f t="shared" si="2386"/>
        <v>0</v>
      </c>
      <c r="S2032" s="530">
        <f t="shared" si="2386"/>
        <v>0</v>
      </c>
      <c r="T2032" s="530">
        <f t="shared" si="2386"/>
        <v>0</v>
      </c>
      <c r="U2032" s="530"/>
      <c r="V2032" s="530"/>
      <c r="W2032" s="530">
        <f t="shared" ref="W2032" si="2387">SUM(W2030)</f>
        <v>0</v>
      </c>
      <c r="X2032" s="530"/>
      <c r="Y2032" s="530"/>
      <c r="Z2032" s="530">
        <f t="shared" ref="Z2032" si="2388">SUM(Z2030)</f>
        <v>0</v>
      </c>
      <c r="AA2032" s="530">
        <f>SUM(AA2028:AA2030)</f>
        <v>0</v>
      </c>
      <c r="AB2032" s="530">
        <f t="shared" ref="AB2032:AI2032" si="2389">SUM(AB2028:AB2030)</f>
        <v>0</v>
      </c>
      <c r="AC2032" s="530">
        <f t="shared" si="2389"/>
        <v>0</v>
      </c>
      <c r="AD2032" s="530">
        <f t="shared" si="2389"/>
        <v>600000</v>
      </c>
      <c r="AE2032" s="530">
        <f t="shared" si="2389"/>
        <v>0</v>
      </c>
      <c r="AF2032" s="530">
        <f t="shared" si="2389"/>
        <v>0</v>
      </c>
      <c r="AG2032" s="530">
        <f t="shared" si="2389"/>
        <v>600000</v>
      </c>
      <c r="AH2032" s="530">
        <f t="shared" si="2389"/>
        <v>600000</v>
      </c>
      <c r="AI2032" s="530">
        <f t="shared" si="2389"/>
        <v>0</v>
      </c>
      <c r="AJ2032" s="776">
        <f>AI2032/AH2032*100</f>
        <v>0</v>
      </c>
    </row>
    <row r="2033" spans="1:36" ht="14">
      <c r="A2033" s="40"/>
      <c r="B2033" s="40"/>
      <c r="C2033" s="124"/>
      <c r="D2033" s="124"/>
      <c r="E2033" s="124"/>
      <c r="F2033" s="41"/>
      <c r="G2033" s="41"/>
      <c r="H2033" s="63"/>
      <c r="I2033" s="41"/>
      <c r="J2033" s="680"/>
      <c r="K2033" s="679"/>
      <c r="L2033" s="678"/>
      <c r="M2033" s="678"/>
      <c r="N2033" s="678"/>
      <c r="O2033" s="678"/>
      <c r="P2033" s="678"/>
      <c r="Q2033" s="678"/>
      <c r="R2033" s="678"/>
      <c r="S2033" s="678"/>
      <c r="T2033" s="678"/>
      <c r="U2033" s="678"/>
      <c r="V2033" s="678"/>
      <c r="W2033" s="678"/>
      <c r="X2033" s="678"/>
      <c r="Y2033" s="678"/>
      <c r="Z2033" s="678"/>
      <c r="AA2033" s="678"/>
      <c r="AB2033" s="702"/>
      <c r="AC2033" s="702"/>
      <c r="AD2033" s="702"/>
      <c r="AE2033" s="702"/>
      <c r="AF2033" s="702"/>
      <c r="AG2033" s="702"/>
      <c r="AH2033" s="702"/>
      <c r="AI2033" s="717"/>
      <c r="AJ2033" s="780"/>
    </row>
    <row r="2034" spans="1:36" s="422" customFormat="1" ht="14">
      <c r="A2034" s="509"/>
      <c r="B2034" s="670"/>
      <c r="C2034" s="510"/>
      <c r="D2034" s="510"/>
      <c r="E2034" s="510"/>
      <c r="F2034" s="937" t="s">
        <v>200</v>
      </c>
      <c r="G2034" s="937"/>
      <c r="H2034" s="937"/>
      <c r="I2034" s="938"/>
      <c r="J2034" s="511">
        <f>J2038-J2036</f>
        <v>129034601</v>
      </c>
      <c r="K2034" s="512">
        <f>K2038-K2036</f>
        <v>755111397</v>
      </c>
      <c r="L2034" s="223">
        <f>L2038-L2036</f>
        <v>884145998</v>
      </c>
      <c r="M2034" s="223">
        <f t="shared" ref="M2034:V2034" si="2390">M2038-M2036</f>
        <v>339056475</v>
      </c>
      <c r="N2034" s="223">
        <f t="shared" si="2390"/>
        <v>0</v>
      </c>
      <c r="O2034" s="223">
        <f t="shared" si="2390"/>
        <v>0</v>
      </c>
      <c r="P2034" s="223">
        <f t="shared" si="2390"/>
        <v>1500000</v>
      </c>
      <c r="Q2034" s="223">
        <f t="shared" si="2390"/>
        <v>-18282065</v>
      </c>
      <c r="R2034" s="223">
        <f t="shared" si="2390"/>
        <v>0</v>
      </c>
      <c r="S2034" s="223">
        <f t="shared" si="2390"/>
        <v>322274410</v>
      </c>
      <c r="T2034" s="223">
        <f t="shared" si="2390"/>
        <v>1206420408</v>
      </c>
      <c r="U2034" s="223">
        <f t="shared" si="2390"/>
        <v>0</v>
      </c>
      <c r="V2034" s="223">
        <f t="shared" si="2390"/>
        <v>0</v>
      </c>
      <c r="W2034" s="223">
        <f t="shared" ref="W2034:X2034" si="2391">W2038-W2036</f>
        <v>5515638</v>
      </c>
      <c r="X2034" s="223">
        <f t="shared" si="2391"/>
        <v>16049086</v>
      </c>
      <c r="Y2034" s="223"/>
      <c r="Z2034" s="223">
        <f t="shared" ref="Z2034:AE2034" si="2392">Z2038-Z2036</f>
        <v>21564724</v>
      </c>
      <c r="AA2034" s="223">
        <f t="shared" si="2392"/>
        <v>1227985132</v>
      </c>
      <c r="AB2034" s="223">
        <f t="shared" si="2392"/>
        <v>1174146932</v>
      </c>
      <c r="AC2034" s="223">
        <f t="shared" si="2392"/>
        <v>34260604</v>
      </c>
      <c r="AD2034" s="223">
        <f t="shared" si="2392"/>
        <v>0</v>
      </c>
      <c r="AE2034" s="223">
        <f t="shared" si="2392"/>
        <v>60689172</v>
      </c>
      <c r="AF2034" s="223"/>
      <c r="AG2034" s="223">
        <f t="shared" ref="AG2034:AH2034" si="2393">AG2038-AG2036</f>
        <v>1269096708</v>
      </c>
      <c r="AH2034" s="223">
        <f t="shared" si="2393"/>
        <v>2497081840</v>
      </c>
      <c r="AI2034" s="223">
        <f t="shared" ref="AI2034" si="2394">AI2038-AI2036</f>
        <v>650932934</v>
      </c>
      <c r="AJ2034" s="778">
        <f>AI2034/AH2034*100</f>
        <v>26.067745300650618</v>
      </c>
    </row>
    <row r="2035" spans="1:36" s="422" customFormat="1" ht="14">
      <c r="A2035" s="40"/>
      <c r="B2035" s="40"/>
      <c r="C2035" s="124"/>
      <c r="D2035" s="124"/>
      <c r="E2035" s="124"/>
      <c r="F2035" s="41"/>
      <c r="G2035" s="41"/>
      <c r="H2035" s="66"/>
      <c r="I2035" s="41"/>
      <c r="J2035" s="126"/>
      <c r="K2035" s="204"/>
      <c r="L2035" s="205"/>
      <c r="M2035" s="205"/>
      <c r="N2035" s="205"/>
      <c r="O2035" s="205"/>
      <c r="P2035" s="205"/>
      <c r="Q2035" s="205"/>
      <c r="R2035" s="205"/>
      <c r="S2035" s="205"/>
      <c r="T2035" s="205"/>
      <c r="U2035" s="205"/>
      <c r="V2035" s="205"/>
      <c r="W2035" s="205"/>
      <c r="X2035" s="205"/>
      <c r="Y2035" s="205"/>
      <c r="Z2035" s="205"/>
      <c r="AA2035" s="205"/>
      <c r="AB2035" s="205"/>
      <c r="AC2035" s="205"/>
      <c r="AD2035" s="205"/>
      <c r="AE2035" s="205"/>
      <c r="AF2035" s="205"/>
      <c r="AG2035" s="205"/>
      <c r="AH2035" s="205"/>
      <c r="AI2035" s="205"/>
      <c r="AJ2035" s="747"/>
    </row>
    <row r="2036" spans="1:36" s="422" customFormat="1" ht="14">
      <c r="A2036" s="509"/>
      <c r="B2036" s="670"/>
      <c r="C2036" s="510"/>
      <c r="D2036" s="510"/>
      <c r="E2036" s="510"/>
      <c r="F2036" s="937" t="s">
        <v>201</v>
      </c>
      <c r="G2036" s="937"/>
      <c r="H2036" s="937"/>
      <c r="I2036" s="938"/>
      <c r="J2036" s="511"/>
      <c r="K2036" s="512"/>
      <c r="L2036" s="223"/>
      <c r="M2036" s="223">
        <f t="shared" ref="M2036:X2036" si="2395">M1759</f>
        <v>581800</v>
      </c>
      <c r="N2036" s="223">
        <f t="shared" si="2395"/>
        <v>0</v>
      </c>
      <c r="O2036" s="223">
        <f t="shared" si="2395"/>
        <v>0</v>
      </c>
      <c r="P2036" s="223">
        <f t="shared" si="2395"/>
        <v>0</v>
      </c>
      <c r="Q2036" s="223">
        <f t="shared" si="2395"/>
        <v>0</v>
      </c>
      <c r="R2036" s="223">
        <f t="shared" si="2395"/>
        <v>0</v>
      </c>
      <c r="S2036" s="223">
        <f t="shared" si="2395"/>
        <v>581800</v>
      </c>
      <c r="T2036" s="223">
        <f t="shared" si="2395"/>
        <v>581800</v>
      </c>
      <c r="U2036" s="223">
        <f t="shared" si="2395"/>
        <v>0</v>
      </c>
      <c r="V2036" s="223">
        <f t="shared" si="2395"/>
        <v>0</v>
      </c>
      <c r="W2036" s="223">
        <f t="shared" si="2395"/>
        <v>0</v>
      </c>
      <c r="X2036" s="223">
        <f t="shared" si="2395"/>
        <v>0</v>
      </c>
      <c r="Y2036" s="223"/>
      <c r="Z2036" s="223">
        <f t="shared" ref="Z2036:AA2036" si="2396">Z1759</f>
        <v>0</v>
      </c>
      <c r="AA2036" s="223">
        <f t="shared" si="2396"/>
        <v>581800</v>
      </c>
      <c r="AB2036" s="223">
        <f t="shared" ref="AB2036:AF2036" si="2397">AB1759+AB2030</f>
        <v>0</v>
      </c>
      <c r="AC2036" s="223">
        <f t="shared" si="2397"/>
        <v>0</v>
      </c>
      <c r="AD2036" s="223">
        <f t="shared" si="2397"/>
        <v>600000</v>
      </c>
      <c r="AE2036" s="223">
        <f t="shared" si="2397"/>
        <v>0</v>
      </c>
      <c r="AF2036" s="223">
        <f t="shared" si="2397"/>
        <v>0</v>
      </c>
      <c r="AG2036" s="223">
        <f>AG1759+AG2030</f>
        <v>600000</v>
      </c>
      <c r="AH2036" s="223">
        <f>AH1759+AH2030</f>
        <v>1181800</v>
      </c>
      <c r="AI2036" s="223">
        <f>AI1759+AI2030</f>
        <v>0</v>
      </c>
      <c r="AJ2036" s="778">
        <f>AI2036/AH2036*100</f>
        <v>0</v>
      </c>
    </row>
    <row r="2037" spans="1:36" ht="14">
      <c r="A2037" s="578"/>
      <c r="B2037" s="578"/>
      <c r="C2037" s="579"/>
      <c r="D2037" s="579"/>
      <c r="E2037" s="579"/>
      <c r="F2037" s="41"/>
      <c r="G2037" s="41"/>
      <c r="H2037" s="63"/>
      <c r="I2037" s="41"/>
      <c r="J2037" s="680"/>
      <c r="K2037" s="679"/>
      <c r="L2037" s="639"/>
      <c r="M2037" s="639"/>
      <c r="N2037" s="639"/>
      <c r="O2037" s="639"/>
      <c r="P2037" s="639"/>
      <c r="Q2037" s="639"/>
      <c r="R2037" s="639"/>
      <c r="S2037" s="639"/>
      <c r="T2037" s="639"/>
      <c r="U2037" s="639"/>
      <c r="V2037" s="639"/>
      <c r="W2037" s="639"/>
      <c r="X2037" s="639"/>
      <c r="Y2037" s="639"/>
      <c r="Z2037" s="639"/>
      <c r="AA2037" s="639"/>
      <c r="AB2037" s="639"/>
      <c r="AC2037" s="639"/>
      <c r="AD2037" s="639"/>
      <c r="AE2037" s="639"/>
      <c r="AF2037" s="639"/>
      <c r="AG2037" s="639"/>
      <c r="AH2037" s="639"/>
      <c r="AI2037" s="639"/>
      <c r="AJ2037" s="791"/>
    </row>
    <row r="2038" spans="1:36" s="387" customFormat="1" ht="14">
      <c r="A2038" s="641"/>
      <c r="B2038" s="673"/>
      <c r="C2038" s="642"/>
      <c r="D2038" s="642"/>
      <c r="E2038" s="642"/>
      <c r="F2038" s="958" t="s">
        <v>704</v>
      </c>
      <c r="G2038" s="958"/>
      <c r="H2038" s="958"/>
      <c r="I2038" s="959"/>
      <c r="J2038" s="640">
        <f>J1878+J1868+J1857+J1851+J1843+J1837+J1831+J1825+J1817+J1811+J1802+J1794+J1788+J1782+J1767+J1761</f>
        <v>129034601</v>
      </c>
      <c r="K2038" s="640">
        <f>K1878+K1868+K1857+K1851+K1843+K1837+K1831+K1825+K1817+K1811+K1802+K1794+K1788+K1782+K1767+K1761</f>
        <v>755111397</v>
      </c>
      <c r="L2038" s="640">
        <f>L1878+L1868+L1857+L1851+L1843+L1837+L1831+L1825+L1817+L1811+L1802+L1794+L1788+L1782+L1767+L1761</f>
        <v>884145998</v>
      </c>
      <c r="M2038" s="640">
        <f t="shared" ref="M2038:T2038" si="2398">M1967+M1961+M1954+M1948+M1942+M1936+M1930+M1924+M1918+M1912+M1906+M1898+M1892+M1884+M1878+M1868+M1857+M1851+M1843+M1837+M1831+M1825+M1817+M1811+M1802+M1794+M1788+M1782+M1767+M1761</f>
        <v>339638275</v>
      </c>
      <c r="N2038" s="640">
        <f t="shared" si="2398"/>
        <v>0</v>
      </c>
      <c r="O2038" s="640">
        <f t="shared" si="2398"/>
        <v>0</v>
      </c>
      <c r="P2038" s="640">
        <f t="shared" si="2398"/>
        <v>1500000</v>
      </c>
      <c r="Q2038" s="640">
        <f t="shared" si="2398"/>
        <v>-18282065</v>
      </c>
      <c r="R2038" s="640">
        <f t="shared" si="2398"/>
        <v>0</v>
      </c>
      <c r="S2038" s="640">
        <f t="shared" si="2398"/>
        <v>322856210</v>
      </c>
      <c r="T2038" s="640">
        <f t="shared" si="2398"/>
        <v>1207002208</v>
      </c>
      <c r="U2038" s="640">
        <f t="shared" ref="U2038:AA2038" si="2399">U1973+U1967+U1961+U1954+U1948+U1942+U1936+U1930+U1924+U1918+U1912+U1906+U1898+U1892+U1884+U1878+U1868+U1857+U1851+U1843+U1837+U1831+U1825+U1817+U1811+U1802+U1794+U1788+U1782+U1767+U1761</f>
        <v>0</v>
      </c>
      <c r="V2038" s="640">
        <f t="shared" si="2399"/>
        <v>0</v>
      </c>
      <c r="W2038" s="640">
        <f t="shared" si="2399"/>
        <v>5515638</v>
      </c>
      <c r="X2038" s="640">
        <f t="shared" si="2399"/>
        <v>16049086</v>
      </c>
      <c r="Y2038" s="640">
        <f t="shared" si="2399"/>
        <v>0</v>
      </c>
      <c r="Z2038" s="640">
        <f t="shared" si="2399"/>
        <v>21564724</v>
      </c>
      <c r="AA2038" s="640">
        <f t="shared" si="2399"/>
        <v>1228566932</v>
      </c>
      <c r="AB2038" s="640">
        <f>AB1973+AB1967+AB1961+AB1954+AB1948+AB1942+AB1936+AB1930+AB1924+AB1918+AB1912+AB1906+AB1898+AB1892+AB1884+AB1878+AB1868+AB1857+AB1851+AB1843+AB1837+AB1831+AB1825+AB1817+AB1811+AB1802+AB1794+AB1788+AB1782+AB1767+AB1761+AB2026+AB2032</f>
        <v>1174146932</v>
      </c>
      <c r="AC2038" s="640">
        <f t="shared" ref="AC2038:AH2038" si="2400">AC1973+AC1967+AC1961+AC1954+AC1948+AC1942+AC1936+AC1930+AC1924+AC1918+AC1912+AC1906+AC1898+AC1892+AC1884+AC1878+AC1868+AC1857+AC1851+AC1843+AC1837+AC1831+AC1825+AC1817+AC1811+AC1802+AC1794+AC1788+AC1782+AC1767+AC1761+AC2026+AC2032</f>
        <v>34260604</v>
      </c>
      <c r="AD2038" s="640">
        <f t="shared" si="2400"/>
        <v>600000</v>
      </c>
      <c r="AE2038" s="640">
        <f t="shared" si="2400"/>
        <v>60689172</v>
      </c>
      <c r="AF2038" s="640">
        <f t="shared" si="2400"/>
        <v>0</v>
      </c>
      <c r="AG2038" s="640">
        <f t="shared" si="2400"/>
        <v>1269696708</v>
      </c>
      <c r="AH2038" s="640">
        <f t="shared" si="2400"/>
        <v>2498263640</v>
      </c>
      <c r="AI2038" s="640">
        <f>AI1973+AI1967+AI1961+AI1954+AI1948+AI1942+AI1936+AI1930+AI1924+AI1918+AI1912+AI1906+AI1898+AI1892+AI1884+AI1878+AI1868+AI1857+AI1851+AI1843+AI1837+AI1831+AI1825+AI1817+AI1811+AI1802+AI1794+AI1788+AI1782+AI1767+AI1761+AI2026+AI2032</f>
        <v>650932934</v>
      </c>
      <c r="AJ2038" s="778">
        <f>AI2038/AH2038*100</f>
        <v>26.055413991455286</v>
      </c>
    </row>
    <row r="2039" spans="1:36" s="387" customFormat="1" ht="14">
      <c r="A2039" s="160"/>
      <c r="B2039" s="160"/>
      <c r="C2039" s="161"/>
      <c r="D2039" s="161"/>
      <c r="E2039" s="161"/>
      <c r="F2039" s="202"/>
      <c r="G2039" s="202"/>
      <c r="H2039" s="202"/>
      <c r="I2039" s="202"/>
      <c r="J2039" s="392"/>
      <c r="K2039" s="392"/>
      <c r="L2039" s="205"/>
      <c r="M2039" s="205"/>
      <c r="N2039" s="205"/>
      <c r="O2039" s="205"/>
      <c r="P2039" s="205"/>
      <c r="Q2039" s="205"/>
      <c r="R2039" s="205"/>
      <c r="S2039" s="205"/>
      <c r="T2039" s="205"/>
      <c r="U2039" s="205"/>
      <c r="V2039" s="205"/>
      <c r="W2039" s="205"/>
      <c r="X2039" s="205"/>
      <c r="Y2039" s="205"/>
      <c r="Z2039" s="205"/>
      <c r="AA2039" s="205"/>
      <c r="AB2039" s="205"/>
      <c r="AC2039" s="205"/>
      <c r="AD2039" s="205"/>
      <c r="AE2039" s="205"/>
      <c r="AF2039" s="205"/>
      <c r="AG2039" s="205"/>
      <c r="AH2039" s="205"/>
      <c r="AI2039" s="205"/>
      <c r="AJ2039" s="747"/>
    </row>
    <row r="2040" spans="1:36" ht="14">
      <c r="A2040" s="40"/>
      <c r="B2040" s="40"/>
      <c r="C2040" s="124"/>
      <c r="D2040" s="124"/>
      <c r="E2040" s="124"/>
      <c r="F2040" s="41"/>
      <c r="G2040" s="41"/>
      <c r="H2040" s="63"/>
      <c r="I2040" s="41"/>
      <c r="J2040" s="680"/>
      <c r="K2040" s="679"/>
      <c r="L2040" s="678"/>
      <c r="M2040" s="678"/>
      <c r="N2040" s="678"/>
      <c r="O2040" s="678"/>
      <c r="P2040" s="678"/>
      <c r="Q2040" s="678"/>
      <c r="R2040" s="678"/>
      <c r="S2040" s="678"/>
      <c r="T2040" s="678"/>
      <c r="U2040" s="678"/>
      <c r="V2040" s="678"/>
      <c r="W2040" s="678"/>
      <c r="X2040" s="678"/>
      <c r="Y2040" s="678"/>
      <c r="Z2040" s="678"/>
      <c r="AA2040" s="678"/>
      <c r="AB2040" s="702"/>
      <c r="AC2040" s="702"/>
      <c r="AD2040" s="702"/>
      <c r="AE2040" s="702"/>
      <c r="AF2040" s="702"/>
      <c r="AG2040" s="702"/>
      <c r="AH2040" s="702"/>
      <c r="AI2040" s="702"/>
      <c r="AJ2040" s="780"/>
    </row>
    <row r="2041" spans="1:36" ht="14">
      <c r="A2041" s="40">
        <v>301</v>
      </c>
      <c r="B2041" s="40"/>
      <c r="C2041" s="124"/>
      <c r="D2041" s="124"/>
      <c r="E2041" s="124"/>
      <c r="F2041" s="942" t="s">
        <v>575</v>
      </c>
      <c r="G2041" s="935"/>
      <c r="H2041" s="935"/>
      <c r="I2041" s="936"/>
      <c r="J2041" s="452"/>
      <c r="K2041" s="453"/>
      <c r="L2041" s="454"/>
      <c r="M2041" s="454"/>
      <c r="N2041" s="454"/>
      <c r="O2041" s="454"/>
      <c r="P2041" s="454"/>
      <c r="Q2041" s="454"/>
      <c r="R2041" s="454"/>
      <c r="S2041" s="454"/>
      <c r="T2041" s="454"/>
      <c r="U2041" s="454"/>
      <c r="V2041" s="454"/>
      <c r="W2041" s="454"/>
      <c r="X2041" s="454"/>
      <c r="Y2041" s="454"/>
      <c r="Z2041" s="454"/>
      <c r="AA2041" s="454"/>
      <c r="AB2041" s="454"/>
      <c r="AC2041" s="454"/>
      <c r="AD2041" s="454"/>
      <c r="AE2041" s="454"/>
      <c r="AF2041" s="454"/>
      <c r="AG2041" s="454"/>
      <c r="AH2041" s="454"/>
      <c r="AI2041" s="454"/>
      <c r="AJ2041" s="769"/>
    </row>
    <row r="2042" spans="1:36" ht="14">
      <c r="A2042" s="40"/>
      <c r="B2042" s="40"/>
      <c r="C2042" s="124">
        <v>2</v>
      </c>
      <c r="D2042" s="124"/>
      <c r="E2042" s="124"/>
      <c r="F2042" s="41"/>
      <c r="G2042" s="41"/>
      <c r="H2042" s="162" t="s">
        <v>211</v>
      </c>
      <c r="I2042" s="125"/>
      <c r="J2042" s="524"/>
      <c r="K2042" s="525"/>
      <c r="L2042" s="526"/>
      <c r="M2042" s="526"/>
      <c r="N2042" s="526"/>
      <c r="O2042" s="526"/>
      <c r="P2042" s="526"/>
      <c r="Q2042" s="526"/>
      <c r="R2042" s="526"/>
      <c r="S2042" s="526"/>
      <c r="T2042" s="526"/>
      <c r="U2042" s="526"/>
      <c r="V2042" s="526"/>
      <c r="W2042" s="526"/>
      <c r="X2042" s="526"/>
      <c r="Y2042" s="526"/>
      <c r="Z2042" s="526"/>
      <c r="AA2042" s="526"/>
      <c r="AB2042" s="526"/>
      <c r="AC2042" s="526"/>
      <c r="AD2042" s="526"/>
      <c r="AE2042" s="526"/>
      <c r="AF2042" s="526"/>
      <c r="AG2042" s="526"/>
      <c r="AH2042" s="526"/>
      <c r="AI2042" s="526"/>
      <c r="AJ2042" s="779"/>
    </row>
    <row r="2043" spans="1:36" ht="14">
      <c r="A2043" s="40"/>
      <c r="B2043" s="40"/>
      <c r="C2043" s="124"/>
      <c r="D2043" s="124">
        <v>6</v>
      </c>
      <c r="E2043" s="124" t="s">
        <v>199</v>
      </c>
      <c r="F2043" s="41"/>
      <c r="G2043" s="41"/>
      <c r="H2043" s="163"/>
      <c r="I2043" s="125" t="s">
        <v>213</v>
      </c>
      <c r="J2043" s="524"/>
      <c r="K2043" s="525">
        <v>17380000</v>
      </c>
      <c r="L2043" s="454"/>
      <c r="M2043" s="454">
        <v>11000000</v>
      </c>
      <c r="N2043" s="454"/>
      <c r="O2043" s="454">
        <v>50000000</v>
      </c>
      <c r="P2043" s="454"/>
      <c r="Q2043" s="454"/>
      <c r="R2043" s="454"/>
      <c r="S2043" s="217">
        <f t="shared" ref="S2043" si="2401">SUM(M2043:R2043)</f>
        <v>61000000</v>
      </c>
      <c r="T2043" s="217">
        <f t="shared" ref="T2043" si="2402">S2043+L2043</f>
        <v>61000000</v>
      </c>
      <c r="U2043" s="454"/>
      <c r="V2043" s="454"/>
      <c r="W2043" s="454"/>
      <c r="X2043" s="454"/>
      <c r="Y2043" s="454"/>
      <c r="Z2043" s="217">
        <f>SUM(U2043:Y2043)</f>
        <v>0</v>
      </c>
      <c r="AA2043" s="217">
        <f>Z2043+T2043</f>
        <v>61000000</v>
      </c>
      <c r="AB2043" s="454"/>
      <c r="AC2043" s="454"/>
      <c r="AD2043" s="454"/>
      <c r="AE2043" s="454"/>
      <c r="AF2043" s="454"/>
      <c r="AG2043" s="217">
        <f t="shared" ref="AG2043" si="2403">SUM(AB2043:AF2043)</f>
        <v>0</v>
      </c>
      <c r="AH2043" s="217">
        <f t="shared" ref="AH2043" si="2404">AG2043+AA2043</f>
        <v>61000000</v>
      </c>
      <c r="AI2043" s="217">
        <v>61000000</v>
      </c>
      <c r="AJ2043" s="764">
        <f>AI2043/AH2043*100</f>
        <v>100</v>
      </c>
    </row>
    <row r="2044" spans="1:36" ht="14">
      <c r="A2044" s="40"/>
      <c r="B2044" s="40"/>
      <c r="C2044" s="124"/>
      <c r="D2044" s="124"/>
      <c r="E2044" s="124"/>
      <c r="F2044" s="41"/>
      <c r="G2044" s="41"/>
      <c r="H2044" s="163"/>
      <c r="I2044" s="125"/>
      <c r="J2044" s="524"/>
      <c r="K2044" s="525"/>
      <c r="L2044" s="526"/>
      <c r="M2044" s="526"/>
      <c r="N2044" s="526"/>
      <c r="O2044" s="526"/>
      <c r="P2044" s="526"/>
      <c r="Q2044" s="526"/>
      <c r="R2044" s="526"/>
      <c r="S2044" s="526"/>
      <c r="T2044" s="526"/>
      <c r="U2044" s="526"/>
      <c r="V2044" s="526"/>
      <c r="W2044" s="526"/>
      <c r="X2044" s="526"/>
      <c r="Y2044" s="526"/>
      <c r="Z2044" s="526"/>
      <c r="AA2044" s="526"/>
      <c r="AB2044" s="526"/>
      <c r="AC2044" s="526"/>
      <c r="AD2044" s="526"/>
      <c r="AE2044" s="526"/>
      <c r="AF2044" s="526"/>
      <c r="AG2044" s="526"/>
      <c r="AH2044" s="526"/>
      <c r="AI2044" s="526"/>
      <c r="AJ2044" s="779"/>
    </row>
    <row r="2045" spans="1:36" ht="14">
      <c r="A2045" s="40"/>
      <c r="B2045" s="40"/>
      <c r="C2045" s="124"/>
      <c r="D2045" s="124"/>
      <c r="E2045" s="124"/>
      <c r="F2045" s="42"/>
      <c r="G2045" s="42"/>
      <c r="H2045" s="165"/>
      <c r="I2045" s="166" t="s">
        <v>37</v>
      </c>
      <c r="J2045" s="528"/>
      <c r="K2045" s="529">
        <f>SUM(K2040:K2044)</f>
        <v>17380000</v>
      </c>
      <c r="L2045" s="530">
        <f>SUM(L2040:L2044)</f>
        <v>0</v>
      </c>
      <c r="M2045" s="530">
        <f t="shared" ref="M2045:T2045" si="2405">SUM(M2040:M2044)</f>
        <v>11000000</v>
      </c>
      <c r="N2045" s="530">
        <f t="shared" si="2405"/>
        <v>0</v>
      </c>
      <c r="O2045" s="530">
        <f t="shared" si="2405"/>
        <v>50000000</v>
      </c>
      <c r="P2045" s="530">
        <f t="shared" si="2405"/>
        <v>0</v>
      </c>
      <c r="Q2045" s="530">
        <f t="shared" si="2405"/>
        <v>0</v>
      </c>
      <c r="R2045" s="530">
        <f t="shared" si="2405"/>
        <v>0</v>
      </c>
      <c r="S2045" s="530">
        <f t="shared" si="2405"/>
        <v>61000000</v>
      </c>
      <c r="T2045" s="530">
        <f t="shared" si="2405"/>
        <v>61000000</v>
      </c>
      <c r="U2045" s="530"/>
      <c r="V2045" s="530"/>
      <c r="W2045" s="530"/>
      <c r="X2045" s="530"/>
      <c r="Y2045" s="530"/>
      <c r="Z2045" s="530">
        <f t="shared" ref="Z2045:AA2045" si="2406">SUM(Z2040:Z2044)</f>
        <v>0</v>
      </c>
      <c r="AA2045" s="530">
        <f t="shared" si="2406"/>
        <v>61000000</v>
      </c>
      <c r="AB2045" s="530"/>
      <c r="AC2045" s="530"/>
      <c r="AD2045" s="530"/>
      <c r="AE2045" s="530"/>
      <c r="AF2045" s="530"/>
      <c r="AG2045" s="530">
        <f t="shared" ref="AG2045:AH2045" si="2407">SUM(AG2040:AG2044)</f>
        <v>0</v>
      </c>
      <c r="AH2045" s="530">
        <f t="shared" si="2407"/>
        <v>61000000</v>
      </c>
      <c r="AI2045" s="530">
        <f t="shared" ref="AI2045" si="2408">SUM(AI2040:AI2044)</f>
        <v>61000000</v>
      </c>
      <c r="AJ2045" s="776">
        <f>AI2045/AH2045*100</f>
        <v>100</v>
      </c>
    </row>
    <row r="2046" spans="1:36" ht="14">
      <c r="A2046" s="40"/>
      <c r="B2046" s="40"/>
      <c r="C2046" s="124"/>
      <c r="D2046" s="124"/>
      <c r="E2046" s="124"/>
      <c r="F2046" s="41"/>
      <c r="G2046" s="41"/>
      <c r="H2046" s="63"/>
      <c r="I2046" s="41"/>
      <c r="J2046" s="680"/>
      <c r="K2046" s="679"/>
      <c r="L2046" s="678"/>
      <c r="M2046" s="678"/>
      <c r="N2046" s="678"/>
      <c r="O2046" s="678"/>
      <c r="P2046" s="678"/>
      <c r="Q2046" s="678"/>
      <c r="R2046" s="678"/>
      <c r="S2046" s="678"/>
      <c r="T2046" s="678"/>
      <c r="U2046" s="678"/>
      <c r="V2046" s="678"/>
      <c r="W2046" s="678"/>
      <c r="X2046" s="678"/>
      <c r="Y2046" s="678"/>
      <c r="Z2046" s="678"/>
      <c r="AA2046" s="678"/>
      <c r="AB2046" s="702"/>
      <c r="AC2046" s="702"/>
      <c r="AD2046" s="702"/>
      <c r="AE2046" s="702"/>
      <c r="AF2046" s="702"/>
      <c r="AG2046" s="702"/>
      <c r="AH2046" s="702"/>
      <c r="AI2046" s="760"/>
      <c r="AJ2046" s="780"/>
    </row>
    <row r="2047" spans="1:36" s="45" customFormat="1" ht="14">
      <c r="A2047" s="665"/>
      <c r="B2047" s="666"/>
      <c r="C2047" s="301"/>
      <c r="D2047" s="301"/>
      <c r="E2047" s="301"/>
      <c r="F2047" s="877" t="s">
        <v>200</v>
      </c>
      <c r="G2047" s="877"/>
      <c r="H2047" s="877"/>
      <c r="I2047" s="878"/>
      <c r="J2047" s="51">
        <f>J1955+J1743+J1533+J1396+J1186</f>
        <v>0</v>
      </c>
      <c r="K2047" s="207">
        <f>K1955+K1743+K1533+K1396+K1186</f>
        <v>0</v>
      </c>
      <c r="L2047" s="51">
        <f>L1955+L1743+L1533+L1396+L1186</f>
        <v>0</v>
      </c>
      <c r="M2047" s="51">
        <f>M2045</f>
        <v>11000000</v>
      </c>
      <c r="N2047" s="51">
        <f t="shared" ref="N2047:T2047" si="2409">N2045</f>
        <v>0</v>
      </c>
      <c r="O2047" s="51">
        <f t="shared" si="2409"/>
        <v>50000000</v>
      </c>
      <c r="P2047" s="51">
        <f t="shared" si="2409"/>
        <v>0</v>
      </c>
      <c r="Q2047" s="51">
        <f t="shared" si="2409"/>
        <v>0</v>
      </c>
      <c r="R2047" s="51">
        <f t="shared" si="2409"/>
        <v>0</v>
      </c>
      <c r="S2047" s="51">
        <f t="shared" si="2409"/>
        <v>61000000</v>
      </c>
      <c r="T2047" s="51">
        <f t="shared" si="2409"/>
        <v>61000000</v>
      </c>
      <c r="U2047" s="51"/>
      <c r="V2047" s="51"/>
      <c r="W2047" s="51"/>
      <c r="X2047" s="51"/>
      <c r="Y2047" s="51"/>
      <c r="Z2047" s="51">
        <f t="shared" ref="Z2047:AA2047" si="2410">Z2045</f>
        <v>0</v>
      </c>
      <c r="AA2047" s="51">
        <f t="shared" si="2410"/>
        <v>61000000</v>
      </c>
      <c r="AB2047" s="51"/>
      <c r="AC2047" s="51"/>
      <c r="AD2047" s="51"/>
      <c r="AE2047" s="51"/>
      <c r="AF2047" s="51"/>
      <c r="AG2047" s="51">
        <f t="shared" ref="AG2047:AH2047" si="2411">AG2045</f>
        <v>0</v>
      </c>
      <c r="AH2047" s="51">
        <f t="shared" si="2411"/>
        <v>61000000</v>
      </c>
      <c r="AI2047" s="51">
        <f t="shared" ref="AI2047" si="2412">AI2045</f>
        <v>61000000</v>
      </c>
      <c r="AJ2047" s="737">
        <f>AI2047/AH2047*100</f>
        <v>100</v>
      </c>
    </row>
    <row r="2048" spans="1:36" ht="14">
      <c r="A2048" s="40"/>
      <c r="B2048" s="40"/>
      <c r="C2048" s="124"/>
      <c r="D2048" s="124"/>
      <c r="E2048" s="124"/>
      <c r="F2048" s="41"/>
      <c r="G2048" s="41"/>
      <c r="H2048" s="63"/>
      <c r="I2048" s="41"/>
      <c r="J2048" s="680"/>
      <c r="K2048" s="679"/>
      <c r="L2048" s="678"/>
      <c r="M2048" s="678"/>
      <c r="N2048" s="678"/>
      <c r="O2048" s="678"/>
      <c r="P2048" s="678"/>
      <c r="Q2048" s="678"/>
      <c r="R2048" s="678"/>
      <c r="S2048" s="678"/>
      <c r="T2048" s="678"/>
      <c r="U2048" s="678"/>
      <c r="V2048" s="678"/>
      <c r="W2048" s="678"/>
      <c r="X2048" s="678"/>
      <c r="Y2048" s="678"/>
      <c r="Z2048" s="678"/>
      <c r="AA2048" s="678"/>
      <c r="AB2048" s="702"/>
      <c r="AC2048" s="702"/>
      <c r="AD2048" s="702"/>
      <c r="AE2048" s="702"/>
      <c r="AF2048" s="702"/>
      <c r="AG2048" s="702"/>
      <c r="AH2048" s="702"/>
      <c r="AI2048" s="760"/>
      <c r="AJ2048" s="780"/>
    </row>
    <row r="2049" spans="1:36" ht="14">
      <c r="A2049" s="509"/>
      <c r="B2049" s="670"/>
      <c r="C2049" s="510"/>
      <c r="D2049" s="510"/>
      <c r="E2049" s="510"/>
      <c r="F2049" s="937" t="s">
        <v>576</v>
      </c>
      <c r="G2049" s="937"/>
      <c r="H2049" s="937"/>
      <c r="I2049" s="957"/>
      <c r="J2049" s="517">
        <f>J1891+J1879+J1869+J1862+J1854+J1848+J1842+J1836+J1828+J1822+J1816+J1810+J1801+J1793+J1778+J1772</f>
        <v>3878220</v>
      </c>
      <c r="K2049" s="518">
        <f>K1891+K1879+K1869+K1862+K1854+K1848+K1842+K1836+K1828+K1822+K1816+K1810+K1801+K1793+K1778+K1772</f>
        <v>25400000</v>
      </c>
      <c r="L2049" s="517"/>
      <c r="M2049" s="517">
        <f>M2047</f>
        <v>11000000</v>
      </c>
      <c r="N2049" s="517">
        <f t="shared" ref="N2049:T2049" si="2413">N2047</f>
        <v>0</v>
      </c>
      <c r="O2049" s="517">
        <f t="shared" si="2413"/>
        <v>50000000</v>
      </c>
      <c r="P2049" s="517">
        <f t="shared" si="2413"/>
        <v>0</v>
      </c>
      <c r="Q2049" s="517">
        <f t="shared" si="2413"/>
        <v>0</v>
      </c>
      <c r="R2049" s="517">
        <f t="shared" si="2413"/>
        <v>0</v>
      </c>
      <c r="S2049" s="517">
        <f t="shared" si="2413"/>
        <v>61000000</v>
      </c>
      <c r="T2049" s="517">
        <f t="shared" si="2413"/>
        <v>61000000</v>
      </c>
      <c r="U2049" s="517"/>
      <c r="V2049" s="517"/>
      <c r="W2049" s="517"/>
      <c r="X2049" s="517"/>
      <c r="Y2049" s="517"/>
      <c r="Z2049" s="517">
        <f t="shared" ref="Z2049:AA2049" si="2414">Z2047</f>
        <v>0</v>
      </c>
      <c r="AA2049" s="517">
        <f t="shared" si="2414"/>
        <v>61000000</v>
      </c>
      <c r="AB2049" s="517"/>
      <c r="AC2049" s="517"/>
      <c r="AD2049" s="517"/>
      <c r="AE2049" s="517"/>
      <c r="AF2049" s="517"/>
      <c r="AG2049" s="517">
        <f t="shared" ref="AG2049:AH2049" si="2415">AG2047</f>
        <v>0</v>
      </c>
      <c r="AH2049" s="517">
        <f t="shared" si="2415"/>
        <v>61000000</v>
      </c>
      <c r="AI2049" s="517">
        <f t="shared" ref="AI2049" si="2416">AI2047</f>
        <v>61000000</v>
      </c>
      <c r="AJ2049" s="737">
        <f>AI2049/AH2049*100</f>
        <v>100</v>
      </c>
    </row>
    <row r="2050" spans="1:36" ht="14">
      <c r="A2050" s="103"/>
      <c r="B2050" s="103"/>
      <c r="C2050" s="104"/>
      <c r="D2050" s="104"/>
      <c r="E2050" s="104"/>
      <c r="F2050" s="41"/>
      <c r="G2050" s="41"/>
      <c r="H2050" s="63"/>
      <c r="I2050" s="41"/>
      <c r="J2050" s="680"/>
      <c r="K2050" s="679"/>
      <c r="L2050" s="678"/>
      <c r="M2050" s="678"/>
      <c r="N2050" s="678"/>
      <c r="O2050" s="678"/>
      <c r="P2050" s="678"/>
      <c r="Q2050" s="678"/>
      <c r="R2050" s="678"/>
      <c r="S2050" s="678"/>
      <c r="T2050" s="678"/>
      <c r="U2050" s="678"/>
      <c r="V2050" s="678"/>
      <c r="W2050" s="678"/>
      <c r="X2050" s="678"/>
      <c r="Y2050" s="678"/>
      <c r="Z2050" s="678"/>
      <c r="AA2050" s="678"/>
      <c r="AB2050" s="702"/>
      <c r="AC2050" s="702"/>
      <c r="AD2050" s="702"/>
      <c r="AE2050" s="702"/>
      <c r="AF2050" s="702"/>
      <c r="AG2050" s="702"/>
      <c r="AH2050" s="702"/>
      <c r="AI2050" s="760"/>
      <c r="AJ2050" s="780"/>
    </row>
    <row r="2051" spans="1:36" s="45" customFormat="1" ht="14">
      <c r="A2051" s="665"/>
      <c r="B2051" s="666"/>
      <c r="C2051" s="301"/>
      <c r="D2051" s="301"/>
      <c r="E2051" s="301"/>
      <c r="F2051" s="877" t="s">
        <v>251</v>
      </c>
      <c r="G2051" s="877"/>
      <c r="H2051" s="877"/>
      <c r="I2051" s="878"/>
      <c r="J2051" s="51"/>
      <c r="K2051" s="207"/>
      <c r="L2051" s="51"/>
      <c r="M2051" s="51"/>
      <c r="N2051" s="51"/>
      <c r="O2051" s="51"/>
      <c r="P2051" s="51"/>
      <c r="Q2051" s="51"/>
      <c r="R2051" s="51"/>
      <c r="S2051" s="51"/>
      <c r="T2051" s="51"/>
      <c r="U2051" s="51"/>
      <c r="V2051" s="51"/>
      <c r="W2051" s="51"/>
      <c r="X2051" s="51"/>
      <c r="Y2051" s="51"/>
      <c r="Z2051" s="51"/>
      <c r="AA2051" s="51"/>
      <c r="AB2051" s="51"/>
      <c r="AC2051" s="51"/>
      <c r="AD2051" s="51"/>
      <c r="AE2051" s="51"/>
      <c r="AF2051" s="51"/>
      <c r="AG2051" s="51"/>
      <c r="AH2051" s="51"/>
      <c r="AI2051" s="51"/>
      <c r="AJ2051" s="737"/>
    </row>
    <row r="2052" spans="1:36" s="45" customFormat="1" ht="14">
      <c r="A2052" s="103"/>
      <c r="B2052" s="103"/>
      <c r="C2052" s="104"/>
      <c r="D2052" s="104"/>
      <c r="E2052" s="104"/>
      <c r="F2052" s="24"/>
      <c r="G2052" s="25"/>
      <c r="H2052" s="25"/>
      <c r="I2052" s="25"/>
      <c r="J2052" s="46"/>
      <c r="K2052" s="159"/>
      <c r="L2052" s="157"/>
      <c r="M2052" s="157"/>
      <c r="N2052" s="157"/>
      <c r="O2052" s="157"/>
      <c r="P2052" s="157"/>
      <c r="Q2052" s="157"/>
      <c r="R2052" s="157"/>
      <c r="S2052" s="157"/>
      <c r="T2052" s="157"/>
      <c r="U2052" s="157"/>
      <c r="V2052" s="157"/>
      <c r="W2052" s="157"/>
      <c r="X2052" s="157"/>
      <c r="Y2052" s="157"/>
      <c r="Z2052" s="157"/>
      <c r="AA2052" s="157"/>
      <c r="AB2052" s="157"/>
      <c r="AC2052" s="157"/>
      <c r="AD2052" s="157"/>
      <c r="AE2052" s="157"/>
      <c r="AF2052" s="157"/>
      <c r="AG2052" s="157"/>
      <c r="AH2052" s="157"/>
      <c r="AI2052" s="157"/>
      <c r="AJ2052" s="749"/>
    </row>
    <row r="2053" spans="1:36" s="45" customFormat="1" ht="14">
      <c r="A2053" s="665"/>
      <c r="B2053" s="666"/>
      <c r="C2053" s="301"/>
      <c r="D2053" s="301"/>
      <c r="E2053" s="301"/>
      <c r="F2053" s="877" t="s">
        <v>200</v>
      </c>
      <c r="G2053" s="877"/>
      <c r="H2053" s="877"/>
      <c r="I2053" s="878"/>
      <c r="J2053" s="51">
        <f>J2034+J1750+J1546+J1403+J1238</f>
        <v>5370690250.5</v>
      </c>
      <c r="K2053" s="207">
        <f>K2034+K1750+K1546+K1403+K1238</f>
        <v>22501993028</v>
      </c>
      <c r="L2053" s="51">
        <f>L2034+L1750+L1546+L1403+L1238</f>
        <v>27692297707</v>
      </c>
      <c r="M2053" s="51">
        <f t="shared" ref="M2053:AI2053" si="2417">M2034+M1750+M1546+M1403+M1238+M2047</f>
        <v>812832694</v>
      </c>
      <c r="N2053" s="51">
        <f t="shared" si="2417"/>
        <v>0</v>
      </c>
      <c r="O2053" s="51">
        <f t="shared" si="2417"/>
        <v>234895450</v>
      </c>
      <c r="P2053" s="51">
        <f t="shared" si="2417"/>
        <v>15661325</v>
      </c>
      <c r="Q2053" s="51">
        <f t="shared" si="2417"/>
        <v>17947548</v>
      </c>
      <c r="R2053" s="51">
        <f t="shared" si="2417"/>
        <v>0</v>
      </c>
      <c r="S2053" s="51">
        <f t="shared" si="2417"/>
        <v>1081337017</v>
      </c>
      <c r="T2053" s="51">
        <f t="shared" si="2417"/>
        <v>28773634724</v>
      </c>
      <c r="U2053" s="51">
        <f t="shared" si="2417"/>
        <v>0</v>
      </c>
      <c r="V2053" s="51">
        <f t="shared" si="2417"/>
        <v>8863012</v>
      </c>
      <c r="W2053" s="51">
        <f t="shared" si="2417"/>
        <v>45830124</v>
      </c>
      <c r="X2053" s="51">
        <f t="shared" si="2417"/>
        <v>210812212</v>
      </c>
      <c r="Y2053" s="51">
        <f t="shared" si="2417"/>
        <v>0</v>
      </c>
      <c r="Z2053" s="51">
        <f t="shared" si="2417"/>
        <v>265505348</v>
      </c>
      <c r="AA2053" s="51">
        <f t="shared" si="2417"/>
        <v>29036680072</v>
      </c>
      <c r="AB2053" s="51">
        <f t="shared" si="2417"/>
        <v>1200648932</v>
      </c>
      <c r="AC2053" s="51">
        <f t="shared" si="2417"/>
        <v>-5441182199</v>
      </c>
      <c r="AD2053" s="51">
        <f t="shared" si="2417"/>
        <v>-906552138</v>
      </c>
      <c r="AE2053" s="51">
        <f t="shared" si="2417"/>
        <v>208949544</v>
      </c>
      <c r="AF2053" s="51">
        <f t="shared" si="2417"/>
        <v>0</v>
      </c>
      <c r="AG2053" s="51">
        <f t="shared" si="2417"/>
        <v>-4938135861</v>
      </c>
      <c r="AH2053" s="51">
        <f t="shared" si="2417"/>
        <v>24098544211</v>
      </c>
      <c r="AI2053" s="51">
        <f t="shared" si="2417"/>
        <v>6324020804</v>
      </c>
      <c r="AJ2053" s="737">
        <f>AI2053/AH2053*100</f>
        <v>26.242335423371106</v>
      </c>
    </row>
    <row r="2054" spans="1:36" s="45" customFormat="1" ht="14">
      <c r="A2054" s="103"/>
      <c r="B2054" s="103"/>
      <c r="C2054" s="104"/>
      <c r="D2054" s="104"/>
      <c r="E2054" s="104"/>
      <c r="F2054" s="24"/>
      <c r="G2054" s="25"/>
      <c r="H2054" s="25"/>
      <c r="I2054" s="25"/>
      <c r="J2054" s="46"/>
      <c r="K2054" s="159"/>
      <c r="L2054" s="157"/>
      <c r="M2054" s="157"/>
      <c r="N2054" s="157"/>
      <c r="O2054" s="157"/>
      <c r="P2054" s="157"/>
      <c r="Q2054" s="157"/>
      <c r="R2054" s="157"/>
      <c r="S2054" s="157"/>
      <c r="T2054" s="157"/>
      <c r="U2054" s="157"/>
      <c r="V2054" s="157"/>
      <c r="W2054" s="157"/>
      <c r="X2054" s="157"/>
      <c r="Y2054" s="157"/>
      <c r="Z2054" s="157"/>
      <c r="AA2054" s="157"/>
      <c r="AB2054" s="157"/>
      <c r="AC2054" s="157"/>
      <c r="AD2054" s="157"/>
      <c r="AE2054" s="157"/>
      <c r="AF2054" s="157"/>
      <c r="AG2054" s="157"/>
      <c r="AH2054" s="157"/>
      <c r="AI2054" s="157"/>
      <c r="AJ2054" s="749"/>
    </row>
    <row r="2055" spans="1:36" s="45" customFormat="1" ht="14">
      <c r="A2055" s="665"/>
      <c r="B2055" s="666"/>
      <c r="C2055" s="301"/>
      <c r="D2055" s="301"/>
      <c r="E2055" s="301"/>
      <c r="F2055" s="877" t="s">
        <v>201</v>
      </c>
      <c r="G2055" s="877"/>
      <c r="H2055" s="877"/>
      <c r="I2055" s="878" t="s">
        <v>197</v>
      </c>
      <c r="J2055" s="51">
        <f t="shared" ref="J2055:AI2055" si="2418">J2036+J1752+J1548+J1405+J1240</f>
        <v>621389671</v>
      </c>
      <c r="K2055" s="207">
        <f t="shared" si="2418"/>
        <v>7227805</v>
      </c>
      <c r="L2055" s="51">
        <f t="shared" si="2418"/>
        <v>628617476</v>
      </c>
      <c r="M2055" s="51">
        <f t="shared" si="2418"/>
        <v>88411123</v>
      </c>
      <c r="N2055" s="51">
        <f t="shared" si="2418"/>
        <v>0</v>
      </c>
      <c r="O2055" s="51">
        <f t="shared" si="2418"/>
        <v>-7575000</v>
      </c>
      <c r="P2055" s="51">
        <f t="shared" si="2418"/>
        <v>39310000</v>
      </c>
      <c r="Q2055" s="51">
        <f t="shared" si="2418"/>
        <v>3494094</v>
      </c>
      <c r="R2055" s="51">
        <f t="shared" si="2418"/>
        <v>0</v>
      </c>
      <c r="S2055" s="51">
        <f t="shared" si="2418"/>
        <v>123640217</v>
      </c>
      <c r="T2055" s="51">
        <f t="shared" si="2418"/>
        <v>752257693</v>
      </c>
      <c r="U2055" s="51">
        <f t="shared" si="2418"/>
        <v>0</v>
      </c>
      <c r="V2055" s="51">
        <f t="shared" si="2418"/>
        <v>24730400</v>
      </c>
      <c r="W2055" s="51">
        <f t="shared" si="2418"/>
        <v>10021555</v>
      </c>
      <c r="X2055" s="51">
        <f t="shared" si="2418"/>
        <v>-2762882</v>
      </c>
      <c r="Y2055" s="51">
        <f t="shared" si="2418"/>
        <v>0</v>
      </c>
      <c r="Z2055" s="51">
        <f t="shared" si="2418"/>
        <v>31989073</v>
      </c>
      <c r="AA2055" s="51">
        <f t="shared" si="2418"/>
        <v>784246766</v>
      </c>
      <c r="AB2055" s="51">
        <f t="shared" si="2418"/>
        <v>0</v>
      </c>
      <c r="AC2055" s="51">
        <f t="shared" si="2418"/>
        <v>3522500</v>
      </c>
      <c r="AD2055" s="51">
        <f t="shared" si="2418"/>
        <v>-5683346</v>
      </c>
      <c r="AE2055" s="51">
        <f t="shared" si="2418"/>
        <v>-24409805</v>
      </c>
      <c r="AF2055" s="51">
        <f t="shared" si="2418"/>
        <v>0</v>
      </c>
      <c r="AG2055" s="51">
        <f t="shared" si="2418"/>
        <v>-26570651</v>
      </c>
      <c r="AH2055" s="51">
        <f t="shared" si="2418"/>
        <v>757676115</v>
      </c>
      <c r="AI2055" s="51">
        <f t="shared" si="2418"/>
        <v>532022726</v>
      </c>
      <c r="AJ2055" s="737">
        <f>AI2055/AH2055*100</f>
        <v>70.217697967158429</v>
      </c>
    </row>
    <row r="2056" spans="1:36" ht="14.5" thickBot="1">
      <c r="A2056" s="40"/>
      <c r="B2056" s="40"/>
      <c r="C2056" s="124"/>
      <c r="D2056" s="124"/>
      <c r="E2056" s="124"/>
      <c r="F2056" s="41"/>
      <c r="G2056" s="41"/>
      <c r="H2056" s="63"/>
      <c r="I2056" s="125"/>
      <c r="J2056" s="680"/>
      <c r="K2056" s="525"/>
      <c r="L2056" s="454"/>
      <c r="M2056" s="454"/>
      <c r="N2056" s="454"/>
      <c r="O2056" s="454"/>
      <c r="P2056" s="454"/>
      <c r="Q2056" s="454"/>
      <c r="R2056" s="454"/>
      <c r="S2056" s="454"/>
      <c r="T2056" s="454"/>
      <c r="U2056" s="454"/>
      <c r="V2056" s="454"/>
      <c r="W2056" s="454"/>
      <c r="X2056" s="454"/>
      <c r="Y2056" s="454"/>
      <c r="Z2056" s="454"/>
      <c r="AA2056" s="454"/>
      <c r="AB2056" s="454"/>
      <c r="AC2056" s="454"/>
      <c r="AD2056" s="454"/>
      <c r="AE2056" s="454"/>
      <c r="AF2056" s="454"/>
      <c r="AG2056" s="454"/>
      <c r="AH2056" s="454"/>
      <c r="AI2056" s="454"/>
      <c r="AJ2056" s="769"/>
    </row>
    <row r="2057" spans="1:36" ht="14.5" thickBot="1">
      <c r="A2057" s="580"/>
      <c r="B2057" s="581"/>
      <c r="C2057" s="582"/>
      <c r="D2057" s="582"/>
      <c r="E2057" s="582"/>
      <c r="F2057" s="583"/>
      <c r="G2057" s="584"/>
      <c r="H2057" s="585"/>
      <c r="I2057" s="586" t="s">
        <v>102</v>
      </c>
      <c r="J2057" s="587">
        <f>J2038+J1754+J1550+J1407+J1242</f>
        <v>5992079921.5</v>
      </c>
      <c r="K2057" s="588">
        <f>K2038+K1754+K1550+K1407+K1242</f>
        <v>22509220833</v>
      </c>
      <c r="L2057" s="587">
        <f>L2038+L1754+L1550+L1407+L1242</f>
        <v>28320915183</v>
      </c>
      <c r="M2057" s="587">
        <f t="shared" ref="M2057:AI2057" si="2419">M2038+M1754+M1550+M1407+M1242+M2049</f>
        <v>901243817</v>
      </c>
      <c r="N2057" s="587">
        <f t="shared" si="2419"/>
        <v>0</v>
      </c>
      <c r="O2057" s="587">
        <f t="shared" si="2419"/>
        <v>227320450</v>
      </c>
      <c r="P2057" s="587">
        <f t="shared" si="2419"/>
        <v>54971325</v>
      </c>
      <c r="Q2057" s="587">
        <f t="shared" si="2419"/>
        <v>21441642</v>
      </c>
      <c r="R2057" s="587">
        <f t="shared" si="2419"/>
        <v>0</v>
      </c>
      <c r="S2057" s="587">
        <f t="shared" si="2419"/>
        <v>1204977234</v>
      </c>
      <c r="T2057" s="587">
        <f t="shared" si="2419"/>
        <v>29525892417</v>
      </c>
      <c r="U2057" s="587">
        <f t="shared" si="2419"/>
        <v>0</v>
      </c>
      <c r="V2057" s="587">
        <f t="shared" si="2419"/>
        <v>33593412</v>
      </c>
      <c r="W2057" s="587">
        <f t="shared" si="2419"/>
        <v>55851679</v>
      </c>
      <c r="X2057" s="587">
        <f t="shared" si="2419"/>
        <v>208049330</v>
      </c>
      <c r="Y2057" s="587">
        <f t="shared" si="2419"/>
        <v>0</v>
      </c>
      <c r="Z2057" s="587">
        <f t="shared" si="2419"/>
        <v>297494421</v>
      </c>
      <c r="AA2057" s="587">
        <f t="shared" si="2419"/>
        <v>29820926838</v>
      </c>
      <c r="AB2057" s="587">
        <f t="shared" si="2419"/>
        <v>1200648932</v>
      </c>
      <c r="AC2057" s="587">
        <f t="shared" si="2419"/>
        <v>-5437659699</v>
      </c>
      <c r="AD2057" s="587">
        <f t="shared" si="2419"/>
        <v>-912235484</v>
      </c>
      <c r="AE2057" s="587">
        <f t="shared" si="2419"/>
        <v>184539739</v>
      </c>
      <c r="AF2057" s="587">
        <f t="shared" si="2419"/>
        <v>0</v>
      </c>
      <c r="AG2057" s="587">
        <f t="shared" si="2419"/>
        <v>-4964706512</v>
      </c>
      <c r="AH2057" s="587">
        <f t="shared" si="2419"/>
        <v>24856220326</v>
      </c>
      <c r="AI2057" s="587">
        <f t="shared" si="2419"/>
        <v>6856043530</v>
      </c>
      <c r="AJ2057" s="792">
        <f>AI2057/AH2057*100</f>
        <v>27.582808005722697</v>
      </c>
    </row>
    <row r="2058" spans="1:36">
      <c r="A2058" s="441"/>
      <c r="B2058" s="441"/>
      <c r="C2058" s="133"/>
      <c r="D2058" s="133"/>
      <c r="E2058" s="133"/>
      <c r="F2058" s="448"/>
      <c r="G2058" s="449"/>
      <c r="H2058" s="450"/>
      <c r="I2058" s="450"/>
      <c r="J2058" s="445"/>
      <c r="K2058" s="446"/>
      <c r="L2058" s="447"/>
      <c r="M2058" s="447"/>
      <c r="N2058" s="447"/>
      <c r="O2058" s="447"/>
      <c r="P2058" s="447"/>
      <c r="Q2058" s="447"/>
      <c r="R2058" s="447"/>
      <c r="S2058" s="447"/>
      <c r="T2058" s="447"/>
      <c r="U2058" s="447"/>
      <c r="V2058" s="447"/>
      <c r="W2058" s="447"/>
      <c r="X2058" s="447"/>
      <c r="Y2058" s="447"/>
      <c r="Z2058" s="447"/>
      <c r="AA2058" s="447"/>
      <c r="AB2058" s="447"/>
      <c r="AC2058" s="447"/>
      <c r="AD2058" s="447"/>
      <c r="AE2058" s="447"/>
      <c r="AF2058" s="447"/>
      <c r="AG2058" s="447"/>
      <c r="AH2058" s="447"/>
      <c r="AI2058" s="447"/>
      <c r="AJ2058" s="768"/>
    </row>
    <row r="2059" spans="1:36" ht="32" customHeight="1">
      <c r="A2059" s="441"/>
      <c r="B2059" s="441"/>
      <c r="C2059" s="133"/>
      <c r="D2059" s="133"/>
      <c r="E2059" s="133"/>
      <c r="F2059" s="971" t="s">
        <v>266</v>
      </c>
      <c r="G2059" s="972"/>
      <c r="H2059" s="972"/>
      <c r="I2059" s="973"/>
      <c r="J2059" s="445"/>
      <c r="K2059" s="446"/>
      <c r="L2059" s="447"/>
      <c r="M2059" s="447"/>
      <c r="N2059" s="447"/>
      <c r="O2059" s="447"/>
      <c r="P2059" s="447"/>
      <c r="Q2059" s="447"/>
      <c r="R2059" s="447"/>
      <c r="S2059" s="447"/>
      <c r="T2059" s="447"/>
      <c r="U2059" s="447"/>
      <c r="V2059" s="447"/>
      <c r="W2059" s="447"/>
      <c r="X2059" s="447"/>
      <c r="Y2059" s="447"/>
      <c r="Z2059" s="447"/>
      <c r="AA2059" s="447"/>
      <c r="AB2059" s="447"/>
      <c r="AC2059" s="447"/>
      <c r="AD2059" s="447"/>
      <c r="AE2059" s="447"/>
      <c r="AF2059" s="447"/>
      <c r="AG2059" s="447"/>
      <c r="AH2059" s="447"/>
      <c r="AI2059" s="447"/>
      <c r="AJ2059" s="768"/>
    </row>
    <row r="2060" spans="1:36" ht="12.5" customHeight="1">
      <c r="A2060" s="441"/>
      <c r="B2060" s="441"/>
      <c r="C2060" s="133"/>
      <c r="D2060" s="133"/>
      <c r="E2060" s="133"/>
      <c r="F2060" s="448"/>
      <c r="G2060" s="449"/>
      <c r="H2060" s="450"/>
      <c r="I2060" s="450"/>
      <c r="J2060" s="445"/>
      <c r="K2060" s="446"/>
      <c r="L2060" s="447"/>
      <c r="M2060" s="447"/>
      <c r="N2060" s="447"/>
      <c r="O2060" s="447"/>
      <c r="P2060" s="447"/>
      <c r="Q2060" s="447"/>
      <c r="R2060" s="447"/>
      <c r="S2060" s="447"/>
      <c r="T2060" s="447"/>
      <c r="U2060" s="447"/>
      <c r="V2060" s="447"/>
      <c r="W2060" s="447"/>
      <c r="X2060" s="447"/>
      <c r="Y2060" s="447"/>
      <c r="Z2060" s="447"/>
      <c r="AA2060" s="447"/>
      <c r="AB2060" s="447"/>
      <c r="AC2060" s="447"/>
      <c r="AD2060" s="447"/>
      <c r="AE2060" s="447"/>
      <c r="AF2060" s="447"/>
      <c r="AG2060" s="447"/>
      <c r="AH2060" s="447"/>
      <c r="AI2060" s="447"/>
      <c r="AJ2060" s="768"/>
    </row>
    <row r="2061" spans="1:36" ht="28" customHeight="1">
      <c r="A2061" s="40">
        <v>1</v>
      </c>
      <c r="B2061" s="40"/>
      <c r="C2061" s="124"/>
      <c r="D2061" s="124"/>
      <c r="E2061" s="124"/>
      <c r="F2061" s="942" t="s">
        <v>476</v>
      </c>
      <c r="G2061" s="935"/>
      <c r="H2061" s="935"/>
      <c r="I2061" s="936"/>
      <c r="J2061" s="452"/>
      <c r="K2061" s="453"/>
      <c r="L2061" s="454"/>
      <c r="M2061" s="454"/>
      <c r="N2061" s="454"/>
      <c r="O2061" s="454"/>
      <c r="P2061" s="454"/>
      <c r="Q2061" s="454"/>
      <c r="R2061" s="454"/>
      <c r="S2061" s="454"/>
      <c r="T2061" s="454"/>
      <c r="U2061" s="454"/>
      <c r="V2061" s="454"/>
      <c r="W2061" s="454"/>
      <c r="X2061" s="454"/>
      <c r="Y2061" s="454"/>
      <c r="Z2061" s="454"/>
      <c r="AA2061" s="454"/>
      <c r="AB2061" s="454"/>
      <c r="AC2061" s="454"/>
      <c r="AD2061" s="454"/>
      <c r="AE2061" s="454"/>
      <c r="AF2061" s="454"/>
      <c r="AG2061" s="454"/>
      <c r="AH2061" s="454"/>
      <c r="AI2061" s="454"/>
      <c r="AJ2061" s="769"/>
    </row>
    <row r="2062" spans="1:36" ht="14">
      <c r="A2062" s="40"/>
      <c r="B2062" s="40"/>
      <c r="C2062" s="124">
        <v>2</v>
      </c>
      <c r="D2062" s="124"/>
      <c r="E2062" s="124"/>
      <c r="F2062" s="451"/>
      <c r="G2062" s="41"/>
      <c r="H2062" s="162" t="s">
        <v>211</v>
      </c>
      <c r="I2062" s="66"/>
      <c r="J2062" s="452"/>
      <c r="K2062" s="453"/>
      <c r="L2062" s="454"/>
      <c r="M2062" s="454"/>
      <c r="N2062" s="454"/>
      <c r="O2062" s="454"/>
      <c r="P2062" s="454"/>
      <c r="Q2062" s="454"/>
      <c r="R2062" s="454"/>
      <c r="S2062" s="454"/>
      <c r="T2062" s="454"/>
      <c r="U2062" s="454"/>
      <c r="V2062" s="454"/>
      <c r="W2062" s="454"/>
      <c r="X2062" s="454"/>
      <c r="Y2062" s="454"/>
      <c r="Z2062" s="454"/>
      <c r="AA2062" s="454"/>
      <c r="AB2062" s="454"/>
      <c r="AC2062" s="454"/>
      <c r="AD2062" s="454"/>
      <c r="AE2062" s="454"/>
      <c r="AF2062" s="454"/>
      <c r="AG2062" s="454"/>
      <c r="AH2062" s="454"/>
      <c r="AI2062" s="454"/>
      <c r="AJ2062" s="769"/>
    </row>
    <row r="2063" spans="1:36" ht="14">
      <c r="A2063" s="40"/>
      <c r="B2063" s="40"/>
      <c r="C2063" s="124"/>
      <c r="D2063" s="124">
        <v>8</v>
      </c>
      <c r="E2063" s="124" t="s">
        <v>198</v>
      </c>
      <c r="F2063" s="451"/>
      <c r="G2063" s="537"/>
      <c r="H2063" s="66"/>
      <c r="I2063" s="66" t="s">
        <v>212</v>
      </c>
      <c r="J2063" s="452"/>
      <c r="K2063" s="453">
        <v>1155700</v>
      </c>
      <c r="L2063" s="454">
        <f>SUM(J2063:K2063)</f>
        <v>1155700</v>
      </c>
      <c r="M2063" s="454"/>
      <c r="N2063" s="454"/>
      <c r="O2063" s="454"/>
      <c r="P2063" s="454"/>
      <c r="Q2063" s="454"/>
      <c r="R2063" s="454"/>
      <c r="S2063" s="217">
        <f t="shared" ref="S2063" si="2420">SUM(M2063:R2063)</f>
        <v>0</v>
      </c>
      <c r="T2063" s="217">
        <f t="shared" ref="T2063" si="2421">S2063+L2063</f>
        <v>1155700</v>
      </c>
      <c r="U2063" s="454"/>
      <c r="V2063" s="454"/>
      <c r="W2063" s="454"/>
      <c r="X2063" s="454"/>
      <c r="Y2063" s="454"/>
      <c r="Z2063" s="217">
        <f>SUM(U2063:Y2063)</f>
        <v>0</v>
      </c>
      <c r="AA2063" s="217">
        <f>Z2063+T2063</f>
        <v>1155700</v>
      </c>
      <c r="AB2063" s="454"/>
      <c r="AC2063" s="454"/>
      <c r="AD2063" s="454"/>
      <c r="AE2063" s="454"/>
      <c r="AF2063" s="454"/>
      <c r="AG2063" s="217">
        <f t="shared" ref="AG2063" si="2422">SUM(AB2063:AF2063)</f>
        <v>0</v>
      </c>
      <c r="AH2063" s="217">
        <f t="shared" ref="AH2063" si="2423">AG2063+AA2063</f>
        <v>1155700</v>
      </c>
      <c r="AI2063" s="217">
        <v>1155700</v>
      </c>
      <c r="AJ2063" s="764">
        <f>AI2063/AH2063*100</f>
        <v>100</v>
      </c>
    </row>
    <row r="2064" spans="1:36" ht="14">
      <c r="A2064" s="40"/>
      <c r="B2064" s="40"/>
      <c r="C2064" s="124"/>
      <c r="D2064" s="124"/>
      <c r="E2064" s="124"/>
      <c r="F2064" s="451"/>
      <c r="G2064" s="41"/>
      <c r="H2064" s="66"/>
      <c r="I2064" s="66"/>
      <c r="J2064" s="452"/>
      <c r="K2064" s="453"/>
      <c r="L2064" s="454"/>
      <c r="M2064" s="454"/>
      <c r="N2064" s="454"/>
      <c r="O2064" s="454"/>
      <c r="P2064" s="454"/>
      <c r="Q2064" s="454"/>
      <c r="R2064" s="454"/>
      <c r="S2064" s="526"/>
      <c r="T2064" s="526"/>
      <c r="U2064" s="454"/>
      <c r="V2064" s="454"/>
      <c r="W2064" s="454"/>
      <c r="X2064" s="454"/>
      <c r="Y2064" s="454"/>
      <c r="Z2064" s="526"/>
      <c r="AA2064" s="526"/>
      <c r="AB2064" s="454"/>
      <c r="AC2064" s="454"/>
      <c r="AD2064" s="454"/>
      <c r="AE2064" s="454"/>
      <c r="AF2064" s="454"/>
      <c r="AG2064" s="526"/>
      <c r="AH2064" s="526"/>
      <c r="AI2064" s="526"/>
      <c r="AJ2064" s="779"/>
    </row>
    <row r="2065" spans="1:36" ht="14">
      <c r="A2065" s="40"/>
      <c r="B2065" s="40"/>
      <c r="C2065" s="124"/>
      <c r="D2065" s="124"/>
      <c r="E2065" s="124"/>
      <c r="F2065" s="42"/>
      <c r="G2065" s="42"/>
      <c r="H2065" s="129"/>
      <c r="I2065" s="42" t="s">
        <v>37</v>
      </c>
      <c r="J2065" s="488"/>
      <c r="K2065" s="489">
        <f>SUM(K2063:K2064)</f>
        <v>1155700</v>
      </c>
      <c r="L2065" s="490">
        <f>SUM(L2063:L2064)</f>
        <v>1155700</v>
      </c>
      <c r="M2065" s="490">
        <f t="shared" ref="M2065:T2065" si="2424">SUM(M2063:M2064)</f>
        <v>0</v>
      </c>
      <c r="N2065" s="490">
        <f t="shared" si="2424"/>
        <v>0</v>
      </c>
      <c r="O2065" s="490">
        <f t="shared" si="2424"/>
        <v>0</v>
      </c>
      <c r="P2065" s="490">
        <f t="shared" si="2424"/>
        <v>0</v>
      </c>
      <c r="Q2065" s="490">
        <f t="shared" si="2424"/>
        <v>0</v>
      </c>
      <c r="R2065" s="490">
        <f t="shared" si="2424"/>
        <v>0</v>
      </c>
      <c r="S2065" s="490">
        <f t="shared" si="2424"/>
        <v>0</v>
      </c>
      <c r="T2065" s="490">
        <f t="shared" si="2424"/>
        <v>1155700</v>
      </c>
      <c r="U2065" s="490"/>
      <c r="V2065" s="490"/>
      <c r="W2065" s="490"/>
      <c r="X2065" s="490"/>
      <c r="Y2065" s="490"/>
      <c r="Z2065" s="490">
        <f t="shared" ref="Z2065:AA2065" si="2425">SUM(Z2063:Z2064)</f>
        <v>0</v>
      </c>
      <c r="AA2065" s="490">
        <f t="shared" si="2425"/>
        <v>1155700</v>
      </c>
      <c r="AB2065" s="490"/>
      <c r="AC2065" s="490"/>
      <c r="AD2065" s="490"/>
      <c r="AE2065" s="490"/>
      <c r="AF2065" s="490"/>
      <c r="AG2065" s="490">
        <f t="shared" ref="AG2065:AI2065" si="2426">SUM(AG2063:AG2064)</f>
        <v>0</v>
      </c>
      <c r="AH2065" s="490">
        <f t="shared" si="2426"/>
        <v>1155700</v>
      </c>
      <c r="AI2065" s="490">
        <f t="shared" si="2426"/>
        <v>1155700</v>
      </c>
      <c r="AJ2065" s="776">
        <f>AI2065/AH2065*100</f>
        <v>100</v>
      </c>
    </row>
    <row r="2066" spans="1:36" ht="14">
      <c r="A2066" s="40"/>
      <c r="B2066" s="40"/>
      <c r="C2066" s="124"/>
      <c r="D2066" s="124"/>
      <c r="E2066" s="124"/>
      <c r="F2066" s="41"/>
      <c r="G2066" s="41"/>
      <c r="H2066" s="66"/>
      <c r="I2066" s="41"/>
      <c r="J2066" s="126"/>
      <c r="K2066" s="204"/>
      <c r="L2066" s="205"/>
      <c r="M2066" s="205"/>
      <c r="N2066" s="205"/>
      <c r="O2066" s="205"/>
      <c r="P2066" s="205"/>
      <c r="Q2066" s="205"/>
      <c r="R2066" s="205"/>
      <c r="S2066" s="205"/>
      <c r="T2066" s="205"/>
      <c r="U2066" s="205"/>
      <c r="V2066" s="205"/>
      <c r="W2066" s="205"/>
      <c r="X2066" s="205"/>
      <c r="Y2066" s="205"/>
      <c r="Z2066" s="205"/>
      <c r="AA2066" s="205"/>
      <c r="AB2066" s="205"/>
      <c r="AC2066" s="205"/>
      <c r="AD2066" s="205"/>
      <c r="AE2066" s="205"/>
      <c r="AF2066" s="205"/>
      <c r="AG2066" s="205"/>
      <c r="AH2066" s="205"/>
      <c r="AI2066" s="205"/>
      <c r="AJ2066" s="747"/>
    </row>
    <row r="2067" spans="1:36" ht="28" customHeight="1">
      <c r="A2067" s="40">
        <v>2</v>
      </c>
      <c r="B2067" s="40"/>
      <c r="C2067" s="124"/>
      <c r="D2067" s="124"/>
      <c r="E2067" s="124"/>
      <c r="F2067" s="942" t="s">
        <v>477</v>
      </c>
      <c r="G2067" s="935"/>
      <c r="H2067" s="935"/>
      <c r="I2067" s="936"/>
      <c r="J2067" s="452"/>
      <c r="K2067" s="453"/>
      <c r="L2067" s="454"/>
      <c r="M2067" s="454"/>
      <c r="N2067" s="454"/>
      <c r="O2067" s="454"/>
      <c r="P2067" s="454"/>
      <c r="Q2067" s="454"/>
      <c r="R2067" s="454"/>
      <c r="S2067" s="454"/>
      <c r="T2067" s="454"/>
      <c r="U2067" s="454"/>
      <c r="V2067" s="454"/>
      <c r="W2067" s="454"/>
      <c r="X2067" s="454"/>
      <c r="Y2067" s="454"/>
      <c r="Z2067" s="454"/>
      <c r="AA2067" s="454"/>
      <c r="AB2067" s="454"/>
      <c r="AC2067" s="454"/>
      <c r="AD2067" s="454"/>
      <c r="AE2067" s="454"/>
      <c r="AF2067" s="454"/>
      <c r="AG2067" s="454"/>
      <c r="AH2067" s="454"/>
      <c r="AI2067" s="454"/>
      <c r="AJ2067" s="769"/>
    </row>
    <row r="2068" spans="1:36" ht="14">
      <c r="A2068" s="40"/>
      <c r="B2068" s="40"/>
      <c r="C2068" s="124">
        <v>2</v>
      </c>
      <c r="D2068" s="124"/>
      <c r="E2068" s="124"/>
      <c r="F2068" s="451"/>
      <c r="G2068" s="41"/>
      <c r="H2068" s="162" t="s">
        <v>211</v>
      </c>
      <c r="I2068" s="66"/>
      <c r="J2068" s="452"/>
      <c r="K2068" s="453"/>
      <c r="L2068" s="454"/>
      <c r="M2068" s="454"/>
      <c r="N2068" s="454"/>
      <c r="O2068" s="454"/>
      <c r="P2068" s="454"/>
      <c r="Q2068" s="454"/>
      <c r="R2068" s="454"/>
      <c r="S2068" s="454"/>
      <c r="T2068" s="454"/>
      <c r="U2068" s="454"/>
      <c r="V2068" s="454"/>
      <c r="W2068" s="454"/>
      <c r="X2068" s="454"/>
      <c r="Y2068" s="454"/>
      <c r="Z2068" s="454"/>
      <c r="AA2068" s="454"/>
      <c r="AB2068" s="454"/>
      <c r="AC2068" s="454"/>
      <c r="AD2068" s="454"/>
      <c r="AE2068" s="454"/>
      <c r="AF2068" s="454"/>
      <c r="AG2068" s="454"/>
      <c r="AH2068" s="454"/>
      <c r="AI2068" s="454"/>
      <c r="AJ2068" s="769"/>
    </row>
    <row r="2069" spans="1:36" ht="14">
      <c r="A2069" s="40"/>
      <c r="B2069" s="40"/>
      <c r="C2069" s="124"/>
      <c r="D2069" s="124">
        <v>8</v>
      </c>
      <c r="E2069" s="124" t="s">
        <v>198</v>
      </c>
      <c r="F2069" s="451"/>
      <c r="G2069" s="537"/>
      <c r="H2069" s="66"/>
      <c r="I2069" s="66" t="s">
        <v>212</v>
      </c>
      <c r="J2069" s="452"/>
      <c r="K2069" s="453">
        <v>6000000</v>
      </c>
      <c r="L2069" s="454">
        <f>SUM(J2069:K2069)</f>
        <v>6000000</v>
      </c>
      <c r="M2069" s="454"/>
      <c r="N2069" s="454"/>
      <c r="O2069" s="454"/>
      <c r="P2069" s="454"/>
      <c r="Q2069" s="454"/>
      <c r="R2069" s="454"/>
      <c r="S2069" s="217">
        <f t="shared" ref="S2069" si="2427">SUM(M2069:R2069)</f>
        <v>0</v>
      </c>
      <c r="T2069" s="217">
        <f t="shared" ref="T2069" si="2428">S2069+L2069</f>
        <v>6000000</v>
      </c>
      <c r="U2069" s="454"/>
      <c r="V2069" s="454"/>
      <c r="W2069" s="454"/>
      <c r="X2069" s="454"/>
      <c r="Y2069" s="454"/>
      <c r="Z2069" s="217">
        <f>SUM(U2069:Y2069)</f>
        <v>0</v>
      </c>
      <c r="AA2069" s="217">
        <f>Z2069+T2069</f>
        <v>6000000</v>
      </c>
      <c r="AB2069" s="454"/>
      <c r="AC2069" s="454"/>
      <c r="AD2069" s="454"/>
      <c r="AE2069" s="454"/>
      <c r="AF2069" s="454"/>
      <c r="AG2069" s="217">
        <f t="shared" ref="AG2069" si="2429">SUM(AB2069:AF2069)</f>
        <v>0</v>
      </c>
      <c r="AH2069" s="217">
        <f t="shared" ref="AH2069" si="2430">AG2069+AA2069</f>
        <v>6000000</v>
      </c>
      <c r="AI2069" s="217"/>
      <c r="AJ2069" s="764"/>
    </row>
    <row r="2070" spans="1:36" ht="14">
      <c r="A2070" s="40"/>
      <c r="B2070" s="40"/>
      <c r="C2070" s="124"/>
      <c r="D2070" s="124"/>
      <c r="E2070" s="124"/>
      <c r="F2070" s="451"/>
      <c r="G2070" s="41"/>
      <c r="H2070" s="66"/>
      <c r="I2070" s="66"/>
      <c r="J2070" s="452"/>
      <c r="K2070" s="453"/>
      <c r="L2070" s="454"/>
      <c r="M2070" s="454"/>
      <c r="N2070" s="454"/>
      <c r="O2070" s="454"/>
      <c r="P2070" s="454"/>
      <c r="Q2070" s="454"/>
      <c r="R2070" s="454"/>
      <c r="S2070" s="526"/>
      <c r="T2070" s="526"/>
      <c r="U2070" s="454"/>
      <c r="V2070" s="454"/>
      <c r="W2070" s="454"/>
      <c r="X2070" s="454"/>
      <c r="Y2070" s="454"/>
      <c r="Z2070" s="526"/>
      <c r="AA2070" s="526"/>
      <c r="AB2070" s="454"/>
      <c r="AC2070" s="454"/>
      <c r="AD2070" s="454"/>
      <c r="AE2070" s="454"/>
      <c r="AF2070" s="454"/>
      <c r="AG2070" s="526"/>
      <c r="AH2070" s="526"/>
      <c r="AI2070" s="526"/>
      <c r="AJ2070" s="779"/>
    </row>
    <row r="2071" spans="1:36" ht="14">
      <c r="A2071" s="40"/>
      <c r="B2071" s="40"/>
      <c r="C2071" s="124"/>
      <c r="D2071" s="124"/>
      <c r="E2071" s="124"/>
      <c r="F2071" s="42"/>
      <c r="G2071" s="42"/>
      <c r="H2071" s="129"/>
      <c r="I2071" s="42" t="s">
        <v>37</v>
      </c>
      <c r="J2071" s="488"/>
      <c r="K2071" s="489">
        <f>SUM(K2069:K2070)</f>
        <v>6000000</v>
      </c>
      <c r="L2071" s="490">
        <f>SUM(L2069:L2070)</f>
        <v>6000000</v>
      </c>
      <c r="M2071" s="490">
        <f t="shared" ref="M2071:T2071" si="2431">SUM(M2069:M2070)</f>
        <v>0</v>
      </c>
      <c r="N2071" s="490">
        <f t="shared" si="2431"/>
        <v>0</v>
      </c>
      <c r="O2071" s="490">
        <f t="shared" si="2431"/>
        <v>0</v>
      </c>
      <c r="P2071" s="490">
        <f t="shared" si="2431"/>
        <v>0</v>
      </c>
      <c r="Q2071" s="490">
        <f t="shared" si="2431"/>
        <v>0</v>
      </c>
      <c r="R2071" s="490">
        <f t="shared" si="2431"/>
        <v>0</v>
      </c>
      <c r="S2071" s="490">
        <f t="shared" si="2431"/>
        <v>0</v>
      </c>
      <c r="T2071" s="490">
        <f t="shared" si="2431"/>
        <v>6000000</v>
      </c>
      <c r="U2071" s="490"/>
      <c r="V2071" s="490"/>
      <c r="W2071" s="490"/>
      <c r="X2071" s="490"/>
      <c r="Y2071" s="490"/>
      <c r="Z2071" s="490">
        <f t="shared" ref="Z2071:AA2071" si="2432">SUM(Z2069:Z2070)</f>
        <v>0</v>
      </c>
      <c r="AA2071" s="490">
        <f t="shared" si="2432"/>
        <v>6000000</v>
      </c>
      <c r="AB2071" s="490"/>
      <c r="AC2071" s="490"/>
      <c r="AD2071" s="490"/>
      <c r="AE2071" s="490"/>
      <c r="AF2071" s="490"/>
      <c r="AG2071" s="490">
        <f t="shared" ref="AG2071:AH2071" si="2433">SUM(AG2069:AG2070)</f>
        <v>0</v>
      </c>
      <c r="AH2071" s="490">
        <f t="shared" si="2433"/>
        <v>6000000</v>
      </c>
      <c r="AI2071" s="490"/>
      <c r="AJ2071" s="776">
        <f>AI2071/AH2071*100</f>
        <v>0</v>
      </c>
    </row>
    <row r="2072" spans="1:36" ht="14">
      <c r="A2072" s="40"/>
      <c r="B2072" s="40"/>
      <c r="C2072" s="124"/>
      <c r="D2072" s="124"/>
      <c r="E2072" s="124"/>
      <c r="F2072" s="41"/>
      <c r="G2072" s="41"/>
      <c r="H2072" s="66"/>
      <c r="I2072" s="41"/>
      <c r="J2072" s="126"/>
      <c r="K2072" s="204"/>
      <c r="L2072" s="205"/>
      <c r="M2072" s="205"/>
      <c r="N2072" s="205"/>
      <c r="O2072" s="205"/>
      <c r="P2072" s="205"/>
      <c r="Q2072" s="205"/>
      <c r="R2072" s="205"/>
      <c r="S2072" s="678"/>
      <c r="T2072" s="678"/>
      <c r="U2072" s="205"/>
      <c r="V2072" s="205"/>
      <c r="W2072" s="205"/>
      <c r="X2072" s="205"/>
      <c r="Y2072" s="205"/>
      <c r="Z2072" s="678"/>
      <c r="AA2072" s="678"/>
      <c r="AB2072" s="205"/>
      <c r="AC2072" s="205"/>
      <c r="AD2072" s="205"/>
      <c r="AE2072" s="205"/>
      <c r="AF2072" s="205"/>
      <c r="AG2072" s="702"/>
      <c r="AH2072" s="702"/>
      <c r="AI2072" s="702"/>
      <c r="AJ2072" s="780"/>
    </row>
    <row r="2073" spans="1:36" ht="14">
      <c r="A2073" s="40">
        <v>3</v>
      </c>
      <c r="B2073" s="40"/>
      <c r="C2073" s="124"/>
      <c r="D2073" s="124"/>
      <c r="E2073" s="124"/>
      <c r="F2073" s="942" t="s">
        <v>577</v>
      </c>
      <c r="G2073" s="935"/>
      <c r="H2073" s="935"/>
      <c r="I2073" s="936"/>
      <c r="J2073" s="452"/>
      <c r="K2073" s="453"/>
      <c r="L2073" s="454"/>
      <c r="M2073" s="454"/>
      <c r="N2073" s="454"/>
      <c r="O2073" s="454"/>
      <c r="P2073" s="454"/>
      <c r="Q2073" s="454"/>
      <c r="R2073" s="454"/>
      <c r="S2073" s="454"/>
      <c r="T2073" s="454"/>
      <c r="U2073" s="454"/>
      <c r="V2073" s="454"/>
      <c r="W2073" s="454"/>
      <c r="X2073" s="454"/>
      <c r="Y2073" s="454"/>
      <c r="Z2073" s="454"/>
      <c r="AA2073" s="454"/>
      <c r="AB2073" s="454"/>
      <c r="AC2073" s="454"/>
      <c r="AD2073" s="454"/>
      <c r="AE2073" s="454"/>
      <c r="AF2073" s="454"/>
      <c r="AG2073" s="454"/>
      <c r="AH2073" s="454"/>
      <c r="AI2073" s="454"/>
      <c r="AJ2073" s="769"/>
    </row>
    <row r="2074" spans="1:36" ht="14">
      <c r="A2074" s="40"/>
      <c r="B2074" s="40"/>
      <c r="C2074" s="124">
        <v>2</v>
      </c>
      <c r="D2074" s="124"/>
      <c r="E2074" s="124"/>
      <c r="F2074" s="451"/>
      <c r="G2074" s="41"/>
      <c r="H2074" s="162" t="s">
        <v>211</v>
      </c>
      <c r="I2074" s="66"/>
      <c r="J2074" s="452"/>
      <c r="K2074" s="453"/>
      <c r="L2074" s="454"/>
      <c r="M2074" s="454"/>
      <c r="N2074" s="454"/>
      <c r="O2074" s="454"/>
      <c r="P2074" s="454"/>
      <c r="Q2074" s="454"/>
      <c r="R2074" s="454"/>
      <c r="S2074" s="454"/>
      <c r="T2074" s="454"/>
      <c r="U2074" s="454"/>
      <c r="V2074" s="454"/>
      <c r="W2074" s="454"/>
      <c r="X2074" s="454"/>
      <c r="Y2074" s="454"/>
      <c r="Z2074" s="454"/>
      <c r="AA2074" s="454"/>
      <c r="AB2074" s="454"/>
      <c r="AC2074" s="454"/>
      <c r="AD2074" s="454"/>
      <c r="AE2074" s="454"/>
      <c r="AF2074" s="454"/>
      <c r="AG2074" s="454"/>
      <c r="AH2074" s="454"/>
      <c r="AI2074" s="454"/>
      <c r="AJ2074" s="769"/>
    </row>
    <row r="2075" spans="1:36" ht="14">
      <c r="A2075" s="40"/>
      <c r="B2075" s="40"/>
      <c r="C2075" s="124"/>
      <c r="D2075" s="124">
        <v>8</v>
      </c>
      <c r="E2075" s="124" t="s">
        <v>198</v>
      </c>
      <c r="F2075" s="451"/>
      <c r="G2075" s="537"/>
      <c r="H2075" s="66"/>
      <c r="I2075" s="66" t="s">
        <v>212</v>
      </c>
      <c r="J2075" s="452"/>
      <c r="K2075" s="453">
        <v>1155700</v>
      </c>
      <c r="L2075" s="454"/>
      <c r="M2075" s="454">
        <v>24005359</v>
      </c>
      <c r="N2075" s="454"/>
      <c r="O2075" s="454"/>
      <c r="P2075" s="454"/>
      <c r="Q2075" s="454"/>
      <c r="R2075" s="454"/>
      <c r="S2075" s="217">
        <f t="shared" ref="S2075" si="2434">SUM(M2075:R2075)</f>
        <v>24005359</v>
      </c>
      <c r="T2075" s="217">
        <f t="shared" ref="T2075" si="2435">S2075+L2075</f>
        <v>24005359</v>
      </c>
      <c r="U2075" s="454"/>
      <c r="V2075" s="454"/>
      <c r="W2075" s="454"/>
      <c r="X2075" s="454"/>
      <c r="Y2075" s="454"/>
      <c r="Z2075" s="217">
        <f>SUM(U2075:Y2075)</f>
        <v>0</v>
      </c>
      <c r="AA2075" s="217">
        <f>Z2075+T2075</f>
        <v>24005359</v>
      </c>
      <c r="AB2075" s="454"/>
      <c r="AC2075" s="454"/>
      <c r="AD2075" s="454"/>
      <c r="AE2075" s="454"/>
      <c r="AF2075" s="454"/>
      <c r="AG2075" s="217">
        <f t="shared" ref="AG2075" si="2436">SUM(AB2075:AF2075)</f>
        <v>0</v>
      </c>
      <c r="AH2075" s="217">
        <f t="shared" ref="AH2075" si="2437">AG2075+AA2075</f>
        <v>24005359</v>
      </c>
      <c r="AI2075" s="217">
        <v>14791450</v>
      </c>
      <c r="AJ2075" s="764">
        <f>AI2075/AH2075*100</f>
        <v>61.617283040841009</v>
      </c>
    </row>
    <row r="2076" spans="1:36" ht="14">
      <c r="A2076" s="40"/>
      <c r="B2076" s="40"/>
      <c r="C2076" s="124"/>
      <c r="D2076" s="124"/>
      <c r="E2076" s="124"/>
      <c r="F2076" s="451"/>
      <c r="G2076" s="41"/>
      <c r="H2076" s="66"/>
      <c r="I2076" s="66"/>
      <c r="J2076" s="452"/>
      <c r="K2076" s="453"/>
      <c r="L2076" s="454"/>
      <c r="M2076" s="454"/>
      <c r="N2076" s="454"/>
      <c r="O2076" s="454"/>
      <c r="P2076" s="454"/>
      <c r="Q2076" s="454"/>
      <c r="R2076" s="454"/>
      <c r="S2076" s="526"/>
      <c r="T2076" s="526"/>
      <c r="U2076" s="454"/>
      <c r="V2076" s="454"/>
      <c r="W2076" s="454"/>
      <c r="X2076" s="454"/>
      <c r="Y2076" s="454"/>
      <c r="Z2076" s="526"/>
      <c r="AA2076" s="526"/>
      <c r="AB2076" s="454"/>
      <c r="AC2076" s="454"/>
      <c r="AD2076" s="454"/>
      <c r="AE2076" s="454"/>
      <c r="AF2076" s="454"/>
      <c r="AG2076" s="526"/>
      <c r="AH2076" s="526"/>
      <c r="AI2076" s="526"/>
      <c r="AJ2076" s="779"/>
    </row>
    <row r="2077" spans="1:36" ht="14">
      <c r="A2077" s="40"/>
      <c r="B2077" s="40"/>
      <c r="C2077" s="124"/>
      <c r="D2077" s="124"/>
      <c r="E2077" s="124"/>
      <c r="F2077" s="42"/>
      <c r="G2077" s="42"/>
      <c r="H2077" s="129"/>
      <c r="I2077" s="42" t="s">
        <v>37</v>
      </c>
      <c r="J2077" s="488"/>
      <c r="K2077" s="489">
        <f>SUM(K2075:K2076)</f>
        <v>1155700</v>
      </c>
      <c r="L2077" s="490">
        <f>SUM(L2075:L2076)</f>
        <v>0</v>
      </c>
      <c r="M2077" s="530">
        <f t="shared" ref="M2077:T2077" si="2438">SUM(M2072:M2076)</f>
        <v>24005359</v>
      </c>
      <c r="N2077" s="530">
        <f t="shared" si="2438"/>
        <v>0</v>
      </c>
      <c r="O2077" s="530">
        <f t="shared" si="2438"/>
        <v>0</v>
      </c>
      <c r="P2077" s="530">
        <f t="shared" si="2438"/>
        <v>0</v>
      </c>
      <c r="Q2077" s="530">
        <f t="shared" si="2438"/>
        <v>0</v>
      </c>
      <c r="R2077" s="530">
        <f t="shared" si="2438"/>
        <v>0</v>
      </c>
      <c r="S2077" s="530">
        <f t="shared" si="2438"/>
        <v>24005359</v>
      </c>
      <c r="T2077" s="530">
        <f t="shared" si="2438"/>
        <v>24005359</v>
      </c>
      <c r="U2077" s="530"/>
      <c r="V2077" s="530"/>
      <c r="W2077" s="530"/>
      <c r="X2077" s="530"/>
      <c r="Y2077" s="530"/>
      <c r="Z2077" s="530">
        <f t="shared" ref="Z2077:AA2077" si="2439">SUM(Z2072:Z2076)</f>
        <v>0</v>
      </c>
      <c r="AA2077" s="530">
        <f t="shared" si="2439"/>
        <v>24005359</v>
      </c>
      <c r="AB2077" s="530"/>
      <c r="AC2077" s="530"/>
      <c r="AD2077" s="530"/>
      <c r="AE2077" s="530"/>
      <c r="AF2077" s="530"/>
      <c r="AG2077" s="530">
        <f t="shared" ref="AG2077:AI2077" si="2440">SUM(AG2072:AG2076)</f>
        <v>0</v>
      </c>
      <c r="AH2077" s="530">
        <f t="shared" si="2440"/>
        <v>24005359</v>
      </c>
      <c r="AI2077" s="530">
        <f t="shared" si="2440"/>
        <v>14791450</v>
      </c>
      <c r="AJ2077" s="776">
        <f>AI2077/AH2077*100</f>
        <v>61.617283040841009</v>
      </c>
    </row>
    <row r="2078" spans="1:36" ht="15" customHeight="1">
      <c r="A2078" s="40"/>
      <c r="B2078" s="40"/>
      <c r="C2078" s="124"/>
      <c r="D2078" s="124"/>
      <c r="E2078" s="124"/>
      <c r="F2078" s="41"/>
      <c r="G2078" s="41"/>
      <c r="H2078" s="66"/>
      <c r="I2078" s="41"/>
      <c r="J2078" s="126"/>
      <c r="K2078" s="204"/>
      <c r="L2078" s="205"/>
      <c r="M2078" s="205"/>
      <c r="N2078" s="205"/>
      <c r="O2078" s="205"/>
      <c r="P2078" s="205"/>
      <c r="Q2078" s="205"/>
      <c r="R2078" s="205"/>
      <c r="S2078" s="678"/>
      <c r="T2078" s="678"/>
      <c r="U2078" s="205"/>
      <c r="V2078" s="205"/>
      <c r="W2078" s="205"/>
      <c r="X2078" s="205"/>
      <c r="Y2078" s="205"/>
      <c r="Z2078" s="678"/>
      <c r="AA2078" s="678"/>
      <c r="AB2078" s="205"/>
      <c r="AC2078" s="205"/>
      <c r="AD2078" s="205"/>
      <c r="AE2078" s="205"/>
      <c r="AF2078" s="205"/>
      <c r="AG2078" s="702"/>
      <c r="AH2078" s="702"/>
      <c r="AI2078" s="702"/>
      <c r="AJ2078" s="780"/>
    </row>
    <row r="2079" spans="1:36" ht="15" customHeight="1">
      <c r="A2079" s="40">
        <v>4</v>
      </c>
      <c r="B2079" s="40"/>
      <c r="C2079" s="124"/>
      <c r="D2079" s="124"/>
      <c r="E2079" s="124"/>
      <c r="F2079" s="942" t="s">
        <v>578</v>
      </c>
      <c r="G2079" s="935"/>
      <c r="H2079" s="935"/>
      <c r="I2079" s="936"/>
      <c r="J2079" s="452"/>
      <c r="K2079" s="453"/>
      <c r="L2079" s="454"/>
      <c r="M2079" s="454"/>
      <c r="N2079" s="454"/>
      <c r="O2079" s="454"/>
      <c r="P2079" s="454"/>
      <c r="Q2079" s="454"/>
      <c r="R2079" s="454"/>
      <c r="S2079" s="454"/>
      <c r="T2079" s="454"/>
      <c r="U2079" s="454"/>
      <c r="V2079" s="454"/>
      <c r="W2079" s="454"/>
      <c r="X2079" s="454"/>
      <c r="Y2079" s="454"/>
      <c r="Z2079" s="454"/>
      <c r="AA2079" s="454"/>
      <c r="AB2079" s="454"/>
      <c r="AC2079" s="454"/>
      <c r="AD2079" s="454"/>
      <c r="AE2079" s="454"/>
      <c r="AF2079" s="454"/>
      <c r="AG2079" s="454"/>
      <c r="AH2079" s="454"/>
      <c r="AI2079" s="454"/>
      <c r="AJ2079" s="769"/>
    </row>
    <row r="2080" spans="1:36" ht="15" customHeight="1">
      <c r="A2080" s="40"/>
      <c r="B2080" s="40"/>
      <c r="C2080" s="124">
        <v>2</v>
      </c>
      <c r="D2080" s="124"/>
      <c r="E2080" s="124"/>
      <c r="F2080" s="451"/>
      <c r="G2080" s="41"/>
      <c r="H2080" s="162" t="s">
        <v>211</v>
      </c>
      <c r="I2080" s="66"/>
      <c r="J2080" s="452"/>
      <c r="K2080" s="453"/>
      <c r="L2080" s="454"/>
      <c r="M2080" s="454"/>
      <c r="N2080" s="454"/>
      <c r="O2080" s="454"/>
      <c r="P2080" s="454"/>
      <c r="Q2080" s="454"/>
      <c r="R2080" s="454"/>
      <c r="S2080" s="454"/>
      <c r="T2080" s="454"/>
      <c r="U2080" s="454"/>
      <c r="V2080" s="454"/>
      <c r="W2080" s="454"/>
      <c r="X2080" s="454"/>
      <c r="Y2080" s="454"/>
      <c r="Z2080" s="454"/>
      <c r="AA2080" s="454"/>
      <c r="AB2080" s="454"/>
      <c r="AC2080" s="454"/>
      <c r="AD2080" s="454"/>
      <c r="AE2080" s="454"/>
      <c r="AF2080" s="454"/>
      <c r="AG2080" s="454"/>
      <c r="AH2080" s="454"/>
      <c r="AI2080" s="454"/>
      <c r="AJ2080" s="769"/>
    </row>
    <row r="2081" spans="1:36" ht="15" customHeight="1">
      <c r="A2081" s="40"/>
      <c r="B2081" s="40"/>
      <c r="C2081" s="124"/>
      <c r="D2081" s="124">
        <v>8</v>
      </c>
      <c r="E2081" s="124" t="s">
        <v>198</v>
      </c>
      <c r="F2081" s="451"/>
      <c r="G2081" s="537"/>
      <c r="H2081" s="66"/>
      <c r="I2081" s="66" t="s">
        <v>212</v>
      </c>
      <c r="J2081" s="452"/>
      <c r="K2081" s="453">
        <v>1155700</v>
      </c>
      <c r="L2081" s="454"/>
      <c r="M2081" s="454">
        <v>9395804</v>
      </c>
      <c r="N2081" s="454"/>
      <c r="O2081" s="454"/>
      <c r="P2081" s="454"/>
      <c r="Q2081" s="454"/>
      <c r="R2081" s="454"/>
      <c r="S2081" s="217">
        <f t="shared" ref="S2081" si="2441">SUM(M2081:R2081)</f>
        <v>9395804</v>
      </c>
      <c r="T2081" s="217">
        <f t="shared" ref="T2081" si="2442">S2081+L2081</f>
        <v>9395804</v>
      </c>
      <c r="U2081" s="454"/>
      <c r="V2081" s="454"/>
      <c r="W2081" s="454"/>
      <c r="X2081" s="454"/>
      <c r="Y2081" s="454"/>
      <c r="Z2081" s="217">
        <f>SUM(U2081:Y2081)</f>
        <v>0</v>
      </c>
      <c r="AA2081" s="217">
        <f>Z2081+T2081</f>
        <v>9395804</v>
      </c>
      <c r="AB2081" s="454"/>
      <c r="AC2081" s="454"/>
      <c r="AD2081" s="454"/>
      <c r="AE2081" s="454"/>
      <c r="AF2081" s="454"/>
      <c r="AG2081" s="217">
        <f t="shared" ref="AG2081" si="2443">SUM(AB2081:AF2081)</f>
        <v>0</v>
      </c>
      <c r="AH2081" s="217">
        <f t="shared" ref="AH2081" si="2444">AG2081+AA2081</f>
        <v>9395804</v>
      </c>
      <c r="AI2081" s="217">
        <v>5124984</v>
      </c>
      <c r="AJ2081" s="764">
        <f>AI2081/AH2081*100</f>
        <v>54.54545454545454</v>
      </c>
    </row>
    <row r="2082" spans="1:36" ht="15" customHeight="1">
      <c r="A2082" s="40"/>
      <c r="B2082" s="40"/>
      <c r="C2082" s="124"/>
      <c r="D2082" s="124"/>
      <c r="E2082" s="124"/>
      <c r="F2082" s="451"/>
      <c r="G2082" s="41"/>
      <c r="H2082" s="66"/>
      <c r="I2082" s="66"/>
      <c r="J2082" s="452"/>
      <c r="K2082" s="453"/>
      <c r="L2082" s="454"/>
      <c r="M2082" s="454"/>
      <c r="N2082" s="454"/>
      <c r="O2082" s="454"/>
      <c r="P2082" s="454"/>
      <c r="Q2082" s="454"/>
      <c r="R2082" s="454"/>
      <c r="S2082" s="526"/>
      <c r="T2082" s="526"/>
      <c r="U2082" s="454"/>
      <c r="V2082" s="454"/>
      <c r="W2082" s="454"/>
      <c r="X2082" s="454"/>
      <c r="Y2082" s="454"/>
      <c r="Z2082" s="526"/>
      <c r="AA2082" s="526"/>
      <c r="AB2082" s="454"/>
      <c r="AC2082" s="454"/>
      <c r="AD2082" s="454"/>
      <c r="AE2082" s="454"/>
      <c r="AF2082" s="454"/>
      <c r="AG2082" s="526"/>
      <c r="AH2082" s="526"/>
      <c r="AI2082" s="526"/>
      <c r="AJ2082" s="779"/>
    </row>
    <row r="2083" spans="1:36" ht="15" customHeight="1">
      <c r="A2083" s="40"/>
      <c r="B2083" s="40"/>
      <c r="C2083" s="124"/>
      <c r="D2083" s="124"/>
      <c r="E2083" s="124"/>
      <c r="F2083" s="42"/>
      <c r="G2083" s="42"/>
      <c r="H2083" s="129"/>
      <c r="I2083" s="42" t="s">
        <v>37</v>
      </c>
      <c r="J2083" s="488"/>
      <c r="K2083" s="489">
        <f>SUM(K2081:K2082)</f>
        <v>1155700</v>
      </c>
      <c r="L2083" s="490">
        <f>SUM(L2081:L2082)</f>
        <v>0</v>
      </c>
      <c r="M2083" s="530">
        <f t="shared" ref="M2083:T2083" si="2445">SUM(M2078:M2082)</f>
        <v>9395804</v>
      </c>
      <c r="N2083" s="530">
        <f t="shared" si="2445"/>
        <v>0</v>
      </c>
      <c r="O2083" s="530">
        <f t="shared" si="2445"/>
        <v>0</v>
      </c>
      <c r="P2083" s="530">
        <f t="shared" si="2445"/>
        <v>0</v>
      </c>
      <c r="Q2083" s="530">
        <f t="shared" si="2445"/>
        <v>0</v>
      </c>
      <c r="R2083" s="530">
        <f t="shared" si="2445"/>
        <v>0</v>
      </c>
      <c r="S2083" s="530">
        <f t="shared" si="2445"/>
        <v>9395804</v>
      </c>
      <c r="T2083" s="530">
        <f t="shared" si="2445"/>
        <v>9395804</v>
      </c>
      <c r="U2083" s="530"/>
      <c r="V2083" s="530"/>
      <c r="W2083" s="530"/>
      <c r="X2083" s="530"/>
      <c r="Y2083" s="530"/>
      <c r="Z2083" s="530">
        <f t="shared" ref="Z2083:AA2083" si="2446">SUM(Z2078:Z2082)</f>
        <v>0</v>
      </c>
      <c r="AA2083" s="530">
        <f t="shared" si="2446"/>
        <v>9395804</v>
      </c>
      <c r="AB2083" s="530"/>
      <c r="AC2083" s="530"/>
      <c r="AD2083" s="530"/>
      <c r="AE2083" s="530"/>
      <c r="AF2083" s="530"/>
      <c r="AG2083" s="530">
        <f t="shared" ref="AG2083:AI2083" si="2447">SUM(AG2078:AG2082)</f>
        <v>0</v>
      </c>
      <c r="AH2083" s="530">
        <f t="shared" si="2447"/>
        <v>9395804</v>
      </c>
      <c r="AI2083" s="530">
        <f t="shared" si="2447"/>
        <v>5124984</v>
      </c>
      <c r="AJ2083" s="776">
        <f>AI2083/AH2083*100</f>
        <v>54.54545454545454</v>
      </c>
    </row>
    <row r="2084" spans="1:36" ht="14" customHeight="1">
      <c r="A2084" s="40"/>
      <c r="B2084" s="40"/>
      <c r="C2084" s="124"/>
      <c r="D2084" s="124"/>
      <c r="E2084" s="124"/>
      <c r="F2084" s="41"/>
      <c r="G2084" s="41"/>
      <c r="H2084" s="66"/>
      <c r="I2084" s="41"/>
      <c r="J2084" s="126"/>
      <c r="K2084" s="204"/>
      <c r="L2084" s="205"/>
      <c r="M2084" s="205"/>
      <c r="N2084" s="205"/>
      <c r="O2084" s="205"/>
      <c r="P2084" s="205"/>
      <c r="Q2084" s="205"/>
      <c r="R2084" s="205"/>
      <c r="S2084" s="678"/>
      <c r="T2084" s="678"/>
      <c r="U2084" s="205"/>
      <c r="V2084" s="205"/>
      <c r="W2084" s="205"/>
      <c r="X2084" s="205"/>
      <c r="Y2084" s="205"/>
      <c r="Z2084" s="678"/>
      <c r="AA2084" s="678"/>
      <c r="AB2084" s="205"/>
      <c r="AC2084" s="205"/>
      <c r="AD2084" s="205"/>
      <c r="AE2084" s="205"/>
      <c r="AF2084" s="205"/>
      <c r="AG2084" s="702"/>
      <c r="AH2084" s="702"/>
      <c r="AI2084" s="702"/>
      <c r="AJ2084" s="780"/>
    </row>
    <row r="2085" spans="1:36" ht="14" customHeight="1">
      <c r="A2085" s="40">
        <v>5</v>
      </c>
      <c r="B2085" s="40"/>
      <c r="C2085" s="124"/>
      <c r="D2085" s="124"/>
      <c r="E2085" s="124"/>
      <c r="F2085" s="942" t="s">
        <v>670</v>
      </c>
      <c r="G2085" s="935"/>
      <c r="H2085" s="935"/>
      <c r="I2085" s="936"/>
      <c r="J2085" s="452"/>
      <c r="K2085" s="453"/>
      <c r="L2085" s="454"/>
      <c r="M2085" s="454"/>
      <c r="N2085" s="454"/>
      <c r="O2085" s="454"/>
      <c r="P2085" s="454"/>
      <c r="Q2085" s="454"/>
      <c r="R2085" s="454"/>
      <c r="S2085" s="454"/>
      <c r="T2085" s="454"/>
      <c r="U2085" s="454"/>
      <c r="V2085" s="454"/>
      <c r="W2085" s="454"/>
      <c r="X2085" s="454"/>
      <c r="Y2085" s="454"/>
      <c r="Z2085" s="454"/>
      <c r="AA2085" s="454"/>
      <c r="AB2085" s="454"/>
      <c r="AC2085" s="454"/>
      <c r="AD2085" s="454"/>
      <c r="AE2085" s="454"/>
      <c r="AF2085" s="454"/>
      <c r="AG2085" s="454"/>
      <c r="AH2085" s="454"/>
      <c r="AI2085" s="454"/>
      <c r="AJ2085" s="769"/>
    </row>
    <row r="2086" spans="1:36" ht="14" customHeight="1">
      <c r="A2086" s="40"/>
      <c r="B2086" s="40"/>
      <c r="C2086" s="124">
        <v>2</v>
      </c>
      <c r="D2086" s="124"/>
      <c r="E2086" s="124"/>
      <c r="F2086" s="451"/>
      <c r="G2086" s="41"/>
      <c r="H2086" s="162" t="s">
        <v>211</v>
      </c>
      <c r="I2086" s="66"/>
      <c r="J2086" s="452"/>
      <c r="K2086" s="453"/>
      <c r="L2086" s="454"/>
      <c r="M2086" s="454"/>
      <c r="N2086" s="454"/>
      <c r="O2086" s="454"/>
      <c r="P2086" s="454"/>
      <c r="Q2086" s="454"/>
      <c r="R2086" s="454"/>
      <c r="S2086" s="454"/>
      <c r="T2086" s="454"/>
      <c r="U2086" s="454"/>
      <c r="V2086" s="454"/>
      <c r="W2086" s="454"/>
      <c r="X2086" s="454"/>
      <c r="Y2086" s="454"/>
      <c r="Z2086" s="454"/>
      <c r="AA2086" s="454"/>
      <c r="AB2086" s="454"/>
      <c r="AC2086" s="454"/>
      <c r="AD2086" s="454"/>
      <c r="AE2086" s="454"/>
      <c r="AF2086" s="454"/>
      <c r="AG2086" s="454"/>
      <c r="AH2086" s="454"/>
      <c r="AI2086" s="454"/>
      <c r="AJ2086" s="769"/>
    </row>
    <row r="2087" spans="1:36" ht="14" customHeight="1">
      <c r="A2087" s="40"/>
      <c r="B2087" s="40"/>
      <c r="C2087" s="124"/>
      <c r="D2087" s="124">
        <v>8</v>
      </c>
      <c r="E2087" s="124" t="s">
        <v>198</v>
      </c>
      <c r="F2087" s="451"/>
      <c r="G2087" s="537"/>
      <c r="H2087" s="66"/>
      <c r="I2087" s="66" t="s">
        <v>212</v>
      </c>
      <c r="J2087" s="452"/>
      <c r="K2087" s="453">
        <v>1155700</v>
      </c>
      <c r="L2087" s="454"/>
      <c r="M2087" s="454"/>
      <c r="N2087" s="454"/>
      <c r="O2087" s="454">
        <v>889000</v>
      </c>
      <c r="P2087" s="454"/>
      <c r="Q2087" s="454"/>
      <c r="R2087" s="454"/>
      <c r="S2087" s="217">
        <f t="shared" ref="S2087" si="2448">SUM(M2087:R2087)</f>
        <v>889000</v>
      </c>
      <c r="T2087" s="217">
        <f t="shared" ref="T2087" si="2449">S2087+L2087</f>
        <v>889000</v>
      </c>
      <c r="U2087" s="454"/>
      <c r="V2087" s="454"/>
      <c r="W2087" s="454"/>
      <c r="X2087" s="454"/>
      <c r="Y2087" s="454"/>
      <c r="Z2087" s="217">
        <f>SUM(U2087:Y2087)</f>
        <v>0</v>
      </c>
      <c r="AA2087" s="217">
        <f>Z2087+T2087</f>
        <v>889000</v>
      </c>
      <c r="AB2087" s="454"/>
      <c r="AC2087" s="454"/>
      <c r="AD2087" s="454"/>
      <c r="AE2087" s="454"/>
      <c r="AF2087" s="454"/>
      <c r="AG2087" s="217">
        <f t="shared" ref="AG2087" si="2450">SUM(AB2087:AF2087)</f>
        <v>0</v>
      </c>
      <c r="AH2087" s="217">
        <f t="shared" ref="AH2087" si="2451">AG2087+AA2087</f>
        <v>889000</v>
      </c>
      <c r="AI2087" s="217">
        <v>889000</v>
      </c>
      <c r="AJ2087" s="764">
        <f>AI2087/AH2087*100</f>
        <v>100</v>
      </c>
    </row>
    <row r="2088" spans="1:36" ht="7.5" customHeight="1">
      <c r="A2088" s="40"/>
      <c r="B2088" s="40"/>
      <c r="C2088" s="124"/>
      <c r="D2088" s="124"/>
      <c r="E2088" s="124"/>
      <c r="F2088" s="451"/>
      <c r="G2088" s="41"/>
      <c r="H2088" s="66"/>
      <c r="I2088" s="66"/>
      <c r="J2088" s="452"/>
      <c r="K2088" s="453"/>
      <c r="L2088" s="454"/>
      <c r="M2088" s="454"/>
      <c r="N2088" s="454"/>
      <c r="O2088" s="454"/>
      <c r="P2088" s="454"/>
      <c r="Q2088" s="454"/>
      <c r="R2088" s="454"/>
      <c r="S2088" s="526"/>
      <c r="T2088" s="526"/>
      <c r="U2088" s="454"/>
      <c r="V2088" s="454"/>
      <c r="W2088" s="454"/>
      <c r="X2088" s="454"/>
      <c r="Y2088" s="454"/>
      <c r="Z2088" s="526"/>
      <c r="AA2088" s="526"/>
      <c r="AB2088" s="454"/>
      <c r="AC2088" s="454"/>
      <c r="AD2088" s="454"/>
      <c r="AE2088" s="454"/>
      <c r="AF2088" s="454"/>
      <c r="AG2088" s="526"/>
      <c r="AH2088" s="526"/>
      <c r="AI2088" s="526"/>
      <c r="AJ2088" s="779"/>
    </row>
    <row r="2089" spans="1:36" ht="14" customHeight="1">
      <c r="A2089" s="40"/>
      <c r="B2089" s="40"/>
      <c r="C2089" s="124"/>
      <c r="D2089" s="124"/>
      <c r="E2089" s="124"/>
      <c r="F2089" s="42"/>
      <c r="G2089" s="42"/>
      <c r="H2089" s="129"/>
      <c r="I2089" s="42" t="s">
        <v>37</v>
      </c>
      <c r="J2089" s="488"/>
      <c r="K2089" s="489">
        <f>SUM(K2087:K2088)</f>
        <v>1155700</v>
      </c>
      <c r="L2089" s="490">
        <f>SUM(L2087:L2088)</f>
        <v>0</v>
      </c>
      <c r="M2089" s="530">
        <f t="shared" ref="M2089:T2089" si="2452">SUM(M2084:M2088)</f>
        <v>0</v>
      </c>
      <c r="N2089" s="530">
        <f t="shared" si="2452"/>
        <v>0</v>
      </c>
      <c r="O2089" s="530">
        <f t="shared" si="2452"/>
        <v>889000</v>
      </c>
      <c r="P2089" s="530">
        <f t="shared" si="2452"/>
        <v>0</v>
      </c>
      <c r="Q2089" s="530">
        <f t="shared" si="2452"/>
        <v>0</v>
      </c>
      <c r="R2089" s="530">
        <f t="shared" si="2452"/>
        <v>0</v>
      </c>
      <c r="S2089" s="530">
        <f t="shared" si="2452"/>
        <v>889000</v>
      </c>
      <c r="T2089" s="530">
        <f t="shared" si="2452"/>
        <v>889000</v>
      </c>
      <c r="U2089" s="530"/>
      <c r="V2089" s="530"/>
      <c r="W2089" s="530"/>
      <c r="X2089" s="530"/>
      <c r="Y2089" s="530"/>
      <c r="Z2089" s="530">
        <f t="shared" ref="Z2089:AA2089" si="2453">SUM(Z2084:Z2088)</f>
        <v>0</v>
      </c>
      <c r="AA2089" s="530">
        <f t="shared" si="2453"/>
        <v>889000</v>
      </c>
      <c r="AB2089" s="530"/>
      <c r="AC2089" s="530"/>
      <c r="AD2089" s="530"/>
      <c r="AE2089" s="530"/>
      <c r="AF2089" s="530"/>
      <c r="AG2089" s="530">
        <f t="shared" ref="AG2089:AI2089" si="2454">SUM(AG2084:AG2088)</f>
        <v>0</v>
      </c>
      <c r="AH2089" s="530">
        <f t="shared" si="2454"/>
        <v>889000</v>
      </c>
      <c r="AI2089" s="530">
        <f t="shared" si="2454"/>
        <v>889000</v>
      </c>
      <c r="AJ2089" s="776">
        <f>AI2089/AH2089*100</f>
        <v>100</v>
      </c>
    </row>
    <row r="2090" spans="1:36" ht="14.5" customHeight="1">
      <c r="A2090" s="40"/>
      <c r="B2090" s="40"/>
      <c r="C2090" s="124"/>
      <c r="D2090" s="124"/>
      <c r="E2090" s="124"/>
      <c r="F2090" s="41"/>
      <c r="G2090" s="41"/>
      <c r="H2090" s="66"/>
      <c r="I2090" s="41"/>
      <c r="J2090" s="126"/>
      <c r="K2090" s="204"/>
      <c r="L2090" s="205"/>
      <c r="M2090" s="205"/>
      <c r="N2090" s="205"/>
      <c r="O2090" s="205"/>
      <c r="P2090" s="205"/>
      <c r="Q2090" s="205"/>
      <c r="R2090" s="205"/>
      <c r="S2090" s="678"/>
      <c r="T2090" s="678"/>
      <c r="U2090" s="205"/>
      <c r="V2090" s="205"/>
      <c r="W2090" s="205"/>
      <c r="X2090" s="205"/>
      <c r="Y2090" s="205"/>
      <c r="Z2090" s="678"/>
      <c r="AA2090" s="678"/>
      <c r="AB2090" s="205"/>
      <c r="AC2090" s="205"/>
      <c r="AD2090" s="205"/>
      <c r="AE2090" s="205"/>
      <c r="AF2090" s="205"/>
      <c r="AG2090" s="702"/>
      <c r="AH2090" s="702"/>
      <c r="AI2090" s="702"/>
      <c r="AJ2090" s="780"/>
    </row>
    <row r="2091" spans="1:36" ht="14.5" customHeight="1">
      <c r="A2091" s="40">
        <v>6</v>
      </c>
      <c r="B2091" s="40"/>
      <c r="C2091" s="124"/>
      <c r="D2091" s="124"/>
      <c r="E2091" s="124"/>
      <c r="F2091" s="942" t="s">
        <v>579</v>
      </c>
      <c r="G2091" s="935"/>
      <c r="H2091" s="935"/>
      <c r="I2091" s="936"/>
      <c r="J2091" s="452"/>
      <c r="K2091" s="453"/>
      <c r="L2091" s="454"/>
      <c r="M2091" s="454"/>
      <c r="N2091" s="454"/>
      <c r="O2091" s="454"/>
      <c r="P2091" s="454"/>
      <c r="Q2091" s="454"/>
      <c r="R2091" s="454"/>
      <c r="S2091" s="454"/>
      <c r="T2091" s="454"/>
      <c r="U2091" s="454"/>
      <c r="V2091" s="454"/>
      <c r="W2091" s="454"/>
      <c r="X2091" s="454"/>
      <c r="Y2091" s="454"/>
      <c r="Z2091" s="454"/>
      <c r="AA2091" s="454"/>
      <c r="AB2091" s="454"/>
      <c r="AC2091" s="454"/>
      <c r="AD2091" s="454"/>
      <c r="AE2091" s="454"/>
      <c r="AF2091" s="454"/>
      <c r="AG2091" s="454"/>
      <c r="AH2091" s="454"/>
      <c r="AI2091" s="454"/>
      <c r="AJ2091" s="769"/>
    </row>
    <row r="2092" spans="1:36" ht="14.5" customHeight="1">
      <c r="A2092" s="40"/>
      <c r="B2092" s="40"/>
      <c r="C2092" s="124">
        <v>2</v>
      </c>
      <c r="D2092" s="124"/>
      <c r="E2092" s="124"/>
      <c r="F2092" s="451"/>
      <c r="G2092" s="41"/>
      <c r="H2092" s="162" t="s">
        <v>211</v>
      </c>
      <c r="I2092" s="66"/>
      <c r="J2092" s="452"/>
      <c r="K2092" s="453"/>
      <c r="L2092" s="454"/>
      <c r="M2092" s="454"/>
      <c r="N2092" s="454"/>
      <c r="O2092" s="454"/>
      <c r="P2092" s="454"/>
      <c r="Q2092" s="454"/>
      <c r="R2092" s="454"/>
      <c r="S2092" s="454"/>
      <c r="T2092" s="454"/>
      <c r="U2092" s="454"/>
      <c r="V2092" s="454"/>
      <c r="W2092" s="454"/>
      <c r="X2092" s="454"/>
      <c r="Y2092" s="454"/>
      <c r="Z2092" s="454"/>
      <c r="AA2092" s="454"/>
      <c r="AB2092" s="454"/>
      <c r="AC2092" s="454"/>
      <c r="AD2092" s="454"/>
      <c r="AE2092" s="454"/>
      <c r="AF2092" s="454"/>
      <c r="AG2092" s="454"/>
      <c r="AH2092" s="454"/>
      <c r="AI2092" s="454"/>
      <c r="AJ2092" s="769"/>
    </row>
    <row r="2093" spans="1:36" ht="14.5" customHeight="1">
      <c r="A2093" s="40"/>
      <c r="B2093" s="40"/>
      <c r="C2093" s="124"/>
      <c r="D2093" s="124">
        <v>8</v>
      </c>
      <c r="E2093" s="124" t="s">
        <v>198</v>
      </c>
      <c r="F2093" s="451"/>
      <c r="G2093" s="537"/>
      <c r="H2093" s="66"/>
      <c r="I2093" s="66" t="s">
        <v>212</v>
      </c>
      <c r="J2093" s="452"/>
      <c r="K2093" s="453">
        <v>1155700</v>
      </c>
      <c r="L2093" s="454"/>
      <c r="M2093" s="454">
        <v>3500000</v>
      </c>
      <c r="N2093" s="454"/>
      <c r="O2093" s="454"/>
      <c r="P2093" s="454"/>
      <c r="Q2093" s="454"/>
      <c r="R2093" s="454"/>
      <c r="S2093" s="217">
        <f t="shared" ref="S2093" si="2455">SUM(M2093:R2093)</f>
        <v>3500000</v>
      </c>
      <c r="T2093" s="217">
        <f t="shared" ref="T2093" si="2456">S2093+L2093</f>
        <v>3500000</v>
      </c>
      <c r="U2093" s="454"/>
      <c r="V2093" s="454"/>
      <c r="W2093" s="454"/>
      <c r="X2093" s="454"/>
      <c r="Y2093" s="454"/>
      <c r="Z2093" s="217">
        <f>SUM(U2093:Y2093)</f>
        <v>0</v>
      </c>
      <c r="AA2093" s="217">
        <f>Z2093+T2093</f>
        <v>3500000</v>
      </c>
      <c r="AB2093" s="454"/>
      <c r="AC2093" s="454"/>
      <c r="AD2093" s="454"/>
      <c r="AE2093" s="454"/>
      <c r="AF2093" s="454"/>
      <c r="AG2093" s="217">
        <f t="shared" ref="AG2093" si="2457">SUM(AB2093:AF2093)</f>
        <v>0</v>
      </c>
      <c r="AH2093" s="217">
        <f t="shared" ref="AH2093" si="2458">AG2093+AA2093</f>
        <v>3500000</v>
      </c>
      <c r="AI2093" s="217"/>
      <c r="AJ2093" s="764"/>
    </row>
    <row r="2094" spans="1:36" ht="6" customHeight="1">
      <c r="A2094" s="40"/>
      <c r="B2094" s="40"/>
      <c r="C2094" s="124"/>
      <c r="D2094" s="124"/>
      <c r="E2094" s="124"/>
      <c r="F2094" s="451"/>
      <c r="G2094" s="41"/>
      <c r="H2094" s="66"/>
      <c r="I2094" s="66"/>
      <c r="J2094" s="452"/>
      <c r="K2094" s="453"/>
      <c r="L2094" s="454"/>
      <c r="M2094" s="454"/>
      <c r="N2094" s="454"/>
      <c r="O2094" s="454"/>
      <c r="P2094" s="454"/>
      <c r="Q2094" s="454"/>
      <c r="R2094" s="454"/>
      <c r="S2094" s="526"/>
      <c r="T2094" s="526"/>
      <c r="U2094" s="454"/>
      <c r="V2094" s="454"/>
      <c r="W2094" s="454"/>
      <c r="X2094" s="454"/>
      <c r="Y2094" s="454"/>
      <c r="Z2094" s="526"/>
      <c r="AA2094" s="526"/>
      <c r="AB2094" s="454"/>
      <c r="AC2094" s="454"/>
      <c r="AD2094" s="454"/>
      <c r="AE2094" s="454"/>
      <c r="AF2094" s="454"/>
      <c r="AG2094" s="526"/>
      <c r="AH2094" s="526"/>
      <c r="AI2094" s="526"/>
      <c r="AJ2094" s="779"/>
    </row>
    <row r="2095" spans="1:36" ht="14.5" customHeight="1">
      <c r="A2095" s="40"/>
      <c r="B2095" s="40"/>
      <c r="C2095" s="124"/>
      <c r="D2095" s="124"/>
      <c r="E2095" s="124"/>
      <c r="F2095" s="42"/>
      <c r="G2095" s="42"/>
      <c r="H2095" s="129"/>
      <c r="I2095" s="42" t="s">
        <v>37</v>
      </c>
      <c r="J2095" s="488"/>
      <c r="K2095" s="489">
        <f>SUM(K2093:K2094)</f>
        <v>1155700</v>
      </c>
      <c r="L2095" s="490">
        <f>SUM(L2093:L2094)</f>
        <v>0</v>
      </c>
      <c r="M2095" s="530">
        <f t="shared" ref="M2095:T2095" si="2459">SUM(M2090:M2094)</f>
        <v>3500000</v>
      </c>
      <c r="N2095" s="530">
        <f t="shared" si="2459"/>
        <v>0</v>
      </c>
      <c r="O2095" s="530">
        <f t="shared" si="2459"/>
        <v>0</v>
      </c>
      <c r="P2095" s="530">
        <f t="shared" si="2459"/>
        <v>0</v>
      </c>
      <c r="Q2095" s="530">
        <f t="shared" si="2459"/>
        <v>0</v>
      </c>
      <c r="R2095" s="530">
        <f t="shared" si="2459"/>
        <v>0</v>
      </c>
      <c r="S2095" s="530">
        <f t="shared" si="2459"/>
        <v>3500000</v>
      </c>
      <c r="T2095" s="530">
        <f t="shared" si="2459"/>
        <v>3500000</v>
      </c>
      <c r="U2095" s="530"/>
      <c r="V2095" s="530"/>
      <c r="W2095" s="530"/>
      <c r="X2095" s="530"/>
      <c r="Y2095" s="530"/>
      <c r="Z2095" s="530">
        <f t="shared" ref="Z2095:AA2095" si="2460">SUM(Z2090:Z2094)</f>
        <v>0</v>
      </c>
      <c r="AA2095" s="530">
        <f t="shared" si="2460"/>
        <v>3500000</v>
      </c>
      <c r="AB2095" s="530"/>
      <c r="AC2095" s="530"/>
      <c r="AD2095" s="530"/>
      <c r="AE2095" s="530"/>
      <c r="AF2095" s="530"/>
      <c r="AG2095" s="530">
        <f t="shared" ref="AG2095:AH2095" si="2461">SUM(AG2090:AG2094)</f>
        <v>0</v>
      </c>
      <c r="AH2095" s="530">
        <f t="shared" si="2461"/>
        <v>3500000</v>
      </c>
      <c r="AI2095" s="530"/>
      <c r="AJ2095" s="776"/>
    </row>
    <row r="2096" spans="1:36" ht="14">
      <c r="A2096" s="40"/>
      <c r="B2096" s="40"/>
      <c r="C2096" s="124"/>
      <c r="D2096" s="124"/>
      <c r="E2096" s="124"/>
      <c r="F2096" s="41"/>
      <c r="G2096" s="41"/>
      <c r="H2096" s="66"/>
      <c r="I2096" s="41"/>
      <c r="J2096" s="126"/>
      <c r="K2096" s="204"/>
      <c r="L2096" s="205"/>
      <c r="M2096" s="205"/>
      <c r="N2096" s="205"/>
      <c r="O2096" s="205"/>
      <c r="P2096" s="205"/>
      <c r="Q2096" s="205"/>
      <c r="R2096" s="205"/>
      <c r="S2096" s="678"/>
      <c r="T2096" s="678"/>
      <c r="U2096" s="205"/>
      <c r="V2096" s="205"/>
      <c r="W2096" s="205"/>
      <c r="X2096" s="205"/>
      <c r="Y2096" s="205"/>
      <c r="Z2096" s="678"/>
      <c r="AA2096" s="678"/>
      <c r="AB2096" s="205"/>
      <c r="AC2096" s="205"/>
      <c r="AD2096" s="205"/>
      <c r="AE2096" s="205"/>
      <c r="AF2096" s="205"/>
      <c r="AG2096" s="702"/>
      <c r="AH2096" s="702"/>
      <c r="AI2096" s="702"/>
      <c r="AJ2096" s="780"/>
    </row>
    <row r="2097" spans="1:36" ht="14">
      <c r="A2097" s="40">
        <v>7</v>
      </c>
      <c r="B2097" s="40"/>
      <c r="C2097" s="124"/>
      <c r="D2097" s="124"/>
      <c r="E2097" s="124"/>
      <c r="F2097" s="942" t="s">
        <v>581</v>
      </c>
      <c r="G2097" s="935"/>
      <c r="H2097" s="935"/>
      <c r="I2097" s="936"/>
      <c r="J2097" s="452"/>
      <c r="K2097" s="453"/>
      <c r="L2097" s="454"/>
      <c r="M2097" s="454"/>
      <c r="N2097" s="454"/>
      <c r="O2097" s="454"/>
      <c r="P2097" s="454"/>
      <c r="Q2097" s="454"/>
      <c r="R2097" s="454"/>
      <c r="S2097" s="454"/>
      <c r="T2097" s="454"/>
      <c r="U2097" s="454"/>
      <c r="V2097" s="454"/>
      <c r="W2097" s="454"/>
      <c r="X2097" s="454"/>
      <c r="Y2097" s="454"/>
      <c r="Z2097" s="454"/>
      <c r="AA2097" s="454"/>
      <c r="AB2097" s="454"/>
      <c r="AC2097" s="454"/>
      <c r="AD2097" s="454"/>
      <c r="AE2097" s="454"/>
      <c r="AF2097" s="454"/>
      <c r="AG2097" s="454"/>
      <c r="AH2097" s="454"/>
      <c r="AI2097" s="454"/>
      <c r="AJ2097" s="769"/>
    </row>
    <row r="2098" spans="1:36" ht="14">
      <c r="A2098" s="40"/>
      <c r="B2098" s="40">
        <v>1</v>
      </c>
      <c r="C2098" s="124"/>
      <c r="D2098" s="124"/>
      <c r="E2098" s="124"/>
      <c r="F2098" s="672"/>
      <c r="G2098" s="935" t="s">
        <v>580</v>
      </c>
      <c r="H2098" s="935"/>
      <c r="I2098" s="936"/>
      <c r="J2098" s="452"/>
      <c r="K2098" s="453"/>
      <c r="L2098" s="454"/>
      <c r="M2098" s="454"/>
      <c r="N2098" s="454"/>
      <c r="O2098" s="454"/>
      <c r="P2098" s="454"/>
      <c r="Q2098" s="454"/>
      <c r="R2098" s="454"/>
      <c r="S2098" s="454"/>
      <c r="T2098" s="454"/>
      <c r="U2098" s="454"/>
      <c r="V2098" s="454"/>
      <c r="W2098" s="454"/>
      <c r="X2098" s="454"/>
      <c r="Y2098" s="454"/>
      <c r="Z2098" s="454"/>
      <c r="AA2098" s="454"/>
      <c r="AB2098" s="454"/>
      <c r="AC2098" s="454"/>
      <c r="AD2098" s="454"/>
      <c r="AE2098" s="454"/>
      <c r="AF2098" s="454"/>
      <c r="AG2098" s="454"/>
      <c r="AH2098" s="454"/>
      <c r="AI2098" s="454"/>
      <c r="AJ2098" s="769"/>
    </row>
    <row r="2099" spans="1:36" ht="14">
      <c r="A2099" s="40"/>
      <c r="B2099" s="40"/>
      <c r="C2099" s="124">
        <v>2</v>
      </c>
      <c r="D2099" s="124"/>
      <c r="E2099" s="124"/>
      <c r="F2099" s="451"/>
      <c r="G2099" s="41"/>
      <c r="H2099" s="162" t="s">
        <v>211</v>
      </c>
      <c r="I2099" s="66"/>
      <c r="J2099" s="452"/>
      <c r="K2099" s="453"/>
      <c r="L2099" s="454"/>
      <c r="M2099" s="454"/>
      <c r="N2099" s="454"/>
      <c r="O2099" s="454"/>
      <c r="P2099" s="454"/>
      <c r="Q2099" s="454"/>
      <c r="R2099" s="454"/>
      <c r="S2099" s="454"/>
      <c r="T2099" s="454"/>
      <c r="U2099" s="454"/>
      <c r="V2099" s="454"/>
      <c r="W2099" s="454"/>
      <c r="X2099" s="454"/>
      <c r="Y2099" s="454"/>
      <c r="Z2099" s="454"/>
      <c r="AA2099" s="454"/>
      <c r="AB2099" s="454"/>
      <c r="AC2099" s="454"/>
      <c r="AD2099" s="454"/>
      <c r="AE2099" s="454"/>
      <c r="AF2099" s="454"/>
      <c r="AG2099" s="454"/>
      <c r="AH2099" s="454"/>
      <c r="AI2099" s="454"/>
      <c r="AJ2099" s="769"/>
    </row>
    <row r="2100" spans="1:36" ht="14">
      <c r="A2100" s="40"/>
      <c r="B2100" s="40"/>
      <c r="C2100" s="124"/>
      <c r="D2100" s="124">
        <v>8</v>
      </c>
      <c r="E2100" s="124" t="s">
        <v>198</v>
      </c>
      <c r="F2100" s="451"/>
      <c r="G2100" s="537"/>
      <c r="H2100" s="66"/>
      <c r="I2100" s="66" t="s">
        <v>212</v>
      </c>
      <c r="J2100" s="452"/>
      <c r="K2100" s="453">
        <v>1155700</v>
      </c>
      <c r="L2100" s="454"/>
      <c r="M2100" s="454">
        <v>393080</v>
      </c>
      <c r="N2100" s="454"/>
      <c r="O2100" s="454"/>
      <c r="P2100" s="454"/>
      <c r="Q2100" s="454"/>
      <c r="R2100" s="454"/>
      <c r="S2100" s="217">
        <f t="shared" ref="S2100" si="2462">SUM(M2100:R2100)</f>
        <v>393080</v>
      </c>
      <c r="T2100" s="217">
        <f t="shared" ref="T2100" si="2463">S2100+L2100</f>
        <v>393080</v>
      </c>
      <c r="U2100" s="454"/>
      <c r="V2100" s="454"/>
      <c r="W2100" s="454"/>
      <c r="X2100" s="454"/>
      <c r="Y2100" s="454"/>
      <c r="Z2100" s="217">
        <f>SUM(U2100:Y2100)</f>
        <v>0</v>
      </c>
      <c r="AA2100" s="217">
        <f>Z2100+T2100</f>
        <v>393080</v>
      </c>
      <c r="AB2100" s="454"/>
      <c r="AC2100" s="454"/>
      <c r="AD2100" s="454"/>
      <c r="AE2100" s="454">
        <v>762052</v>
      </c>
      <c r="AF2100" s="454"/>
      <c r="AG2100" s="217">
        <f t="shared" ref="AG2100" si="2464">SUM(AB2100:AF2100)</f>
        <v>762052</v>
      </c>
      <c r="AH2100" s="217">
        <f t="shared" ref="AH2100" si="2465">AG2100+AA2100</f>
        <v>1155132</v>
      </c>
      <c r="AI2100" s="217">
        <v>690628</v>
      </c>
      <c r="AJ2100" s="764">
        <f>AI2100/AH2100*100</f>
        <v>59.78779914330137</v>
      </c>
    </row>
    <row r="2101" spans="1:36" ht="14">
      <c r="A2101" s="160"/>
      <c r="B2101" s="160"/>
      <c r="C2101" s="161"/>
      <c r="D2101" s="161"/>
      <c r="E2101" s="161"/>
      <c r="F2101" s="482"/>
      <c r="G2101" s="537"/>
      <c r="H2101" s="66"/>
      <c r="I2101" s="66"/>
      <c r="J2101" s="454"/>
      <c r="K2101" s="483"/>
      <c r="L2101" s="454"/>
      <c r="M2101" s="454"/>
      <c r="N2101" s="454"/>
      <c r="O2101" s="454"/>
      <c r="P2101" s="454"/>
      <c r="Q2101" s="454"/>
      <c r="R2101" s="454"/>
      <c r="S2101" s="217"/>
      <c r="T2101" s="217"/>
      <c r="U2101" s="454"/>
      <c r="V2101" s="454"/>
      <c r="W2101" s="454"/>
      <c r="X2101" s="454"/>
      <c r="Y2101" s="454"/>
      <c r="Z2101" s="217"/>
      <c r="AA2101" s="217"/>
      <c r="AB2101" s="454"/>
      <c r="AC2101" s="454"/>
      <c r="AD2101" s="454"/>
      <c r="AE2101" s="454"/>
      <c r="AF2101" s="454"/>
      <c r="AG2101" s="217"/>
      <c r="AH2101" s="217"/>
      <c r="AI2101" s="217"/>
      <c r="AJ2101" s="764"/>
    </row>
    <row r="2102" spans="1:36" ht="14">
      <c r="A2102" s="160"/>
      <c r="B2102" s="160"/>
      <c r="C2102" s="161"/>
      <c r="D2102" s="161"/>
      <c r="E2102" s="161"/>
      <c r="F2102" s="64"/>
      <c r="G2102" s="64"/>
      <c r="H2102" s="65"/>
      <c r="I2102" s="64" t="s">
        <v>38</v>
      </c>
      <c r="J2102" s="170">
        <f t="shared" ref="J2102:K2102" si="2466">SUM(J2100:J2101)</f>
        <v>0</v>
      </c>
      <c r="K2102" s="212">
        <f t="shared" si="2466"/>
        <v>1155700</v>
      </c>
      <c r="L2102" s="170">
        <f>SUM(L2100:L2101)</f>
        <v>0</v>
      </c>
      <c r="M2102" s="170">
        <f t="shared" ref="M2102:T2102" si="2467">SUM(M2100:M2101)</f>
        <v>393080</v>
      </c>
      <c r="N2102" s="170">
        <f t="shared" si="2467"/>
        <v>0</v>
      </c>
      <c r="O2102" s="170">
        <f t="shared" si="2467"/>
        <v>0</v>
      </c>
      <c r="P2102" s="170">
        <f t="shared" si="2467"/>
        <v>0</v>
      </c>
      <c r="Q2102" s="170">
        <f t="shared" si="2467"/>
        <v>0</v>
      </c>
      <c r="R2102" s="170">
        <f t="shared" si="2467"/>
        <v>0</v>
      </c>
      <c r="S2102" s="170">
        <f t="shared" si="2467"/>
        <v>393080</v>
      </c>
      <c r="T2102" s="170">
        <f t="shared" si="2467"/>
        <v>393080</v>
      </c>
      <c r="U2102" s="170"/>
      <c r="V2102" s="170"/>
      <c r="W2102" s="170"/>
      <c r="X2102" s="170"/>
      <c r="Y2102" s="170"/>
      <c r="Z2102" s="170">
        <f t="shared" ref="Z2102:AA2102" si="2468">SUM(Z2100:Z2101)</f>
        <v>0</v>
      </c>
      <c r="AA2102" s="170">
        <f t="shared" si="2468"/>
        <v>393080</v>
      </c>
      <c r="AB2102" s="170"/>
      <c r="AC2102" s="170"/>
      <c r="AD2102" s="170"/>
      <c r="AE2102" s="170">
        <f t="shared" ref="AE2102:AI2102" si="2469">SUM(AE2100:AE2101)</f>
        <v>762052</v>
      </c>
      <c r="AF2102" s="170"/>
      <c r="AG2102" s="170">
        <f t="shared" si="2469"/>
        <v>762052</v>
      </c>
      <c r="AH2102" s="170">
        <f t="shared" si="2469"/>
        <v>1155132</v>
      </c>
      <c r="AI2102" s="170">
        <f t="shared" si="2469"/>
        <v>690628</v>
      </c>
      <c r="AJ2102" s="789">
        <f>AI2102/AH2102*100</f>
        <v>59.78779914330137</v>
      </c>
    </row>
    <row r="2103" spans="1:36" ht="14">
      <c r="A2103" s="160"/>
      <c r="B2103" s="160"/>
      <c r="C2103" s="161"/>
      <c r="D2103" s="161"/>
      <c r="E2103" s="161"/>
      <c r="F2103" s="482"/>
      <c r="G2103" s="537"/>
      <c r="H2103" s="66"/>
      <c r="I2103" s="66"/>
      <c r="J2103" s="454"/>
      <c r="K2103" s="483"/>
      <c r="L2103" s="454"/>
      <c r="M2103" s="454"/>
      <c r="N2103" s="454"/>
      <c r="O2103" s="454"/>
      <c r="P2103" s="454"/>
      <c r="Q2103" s="454"/>
      <c r="R2103" s="454"/>
      <c r="S2103" s="217"/>
      <c r="T2103" s="217"/>
      <c r="U2103" s="454"/>
      <c r="V2103" s="454"/>
      <c r="W2103" s="454"/>
      <c r="X2103" s="454"/>
      <c r="Y2103" s="454"/>
      <c r="Z2103" s="217"/>
      <c r="AA2103" s="217"/>
      <c r="AB2103" s="454"/>
      <c r="AC2103" s="454"/>
      <c r="AD2103" s="454"/>
      <c r="AE2103" s="454"/>
      <c r="AF2103" s="454"/>
      <c r="AG2103" s="217"/>
      <c r="AH2103" s="217"/>
      <c r="AI2103" s="217"/>
      <c r="AJ2103" s="764"/>
    </row>
    <row r="2104" spans="1:36" ht="14">
      <c r="A2104" s="40"/>
      <c r="B2104" s="40">
        <v>2</v>
      </c>
      <c r="C2104" s="124"/>
      <c r="D2104" s="124"/>
      <c r="E2104" s="124"/>
      <c r="F2104" s="672"/>
      <c r="G2104" s="935" t="s">
        <v>555</v>
      </c>
      <c r="H2104" s="935"/>
      <c r="I2104" s="936"/>
      <c r="J2104" s="452"/>
      <c r="K2104" s="453"/>
      <c r="L2104" s="454"/>
      <c r="M2104" s="454"/>
      <c r="N2104" s="454"/>
      <c r="O2104" s="454"/>
      <c r="P2104" s="454"/>
      <c r="Q2104" s="454"/>
      <c r="R2104" s="454"/>
      <c r="S2104" s="454"/>
      <c r="T2104" s="454"/>
      <c r="U2104" s="454"/>
      <c r="V2104" s="454"/>
      <c r="W2104" s="454"/>
      <c r="X2104" s="454"/>
      <c r="Y2104" s="454"/>
      <c r="Z2104" s="454"/>
      <c r="AA2104" s="454"/>
      <c r="AB2104" s="454"/>
      <c r="AC2104" s="454"/>
      <c r="AD2104" s="454"/>
      <c r="AE2104" s="454"/>
      <c r="AF2104" s="454"/>
      <c r="AG2104" s="454"/>
      <c r="AH2104" s="454"/>
      <c r="AI2104" s="454"/>
      <c r="AJ2104" s="769"/>
    </row>
    <row r="2105" spans="1:36" ht="14">
      <c r="A2105" s="40"/>
      <c r="B2105" s="40"/>
      <c r="C2105" s="124">
        <v>2</v>
      </c>
      <c r="D2105" s="124"/>
      <c r="E2105" s="124"/>
      <c r="F2105" s="451"/>
      <c r="G2105" s="41"/>
      <c r="H2105" s="162" t="s">
        <v>211</v>
      </c>
      <c r="I2105" s="66"/>
      <c r="J2105" s="452"/>
      <c r="K2105" s="453"/>
      <c r="L2105" s="454"/>
      <c r="M2105" s="454"/>
      <c r="N2105" s="454"/>
      <c r="O2105" s="454"/>
      <c r="P2105" s="454"/>
      <c r="Q2105" s="454"/>
      <c r="R2105" s="454"/>
      <c r="S2105" s="454"/>
      <c r="T2105" s="454"/>
      <c r="U2105" s="454"/>
      <c r="V2105" s="454"/>
      <c r="W2105" s="454"/>
      <c r="X2105" s="454"/>
      <c r="Y2105" s="454"/>
      <c r="Z2105" s="454"/>
      <c r="AA2105" s="454"/>
      <c r="AB2105" s="454"/>
      <c r="AC2105" s="454"/>
      <c r="AD2105" s="454"/>
      <c r="AE2105" s="454"/>
      <c r="AF2105" s="454"/>
      <c r="AG2105" s="454"/>
      <c r="AH2105" s="454"/>
      <c r="AI2105" s="454"/>
      <c r="AJ2105" s="769"/>
    </row>
    <row r="2106" spans="1:36" ht="14">
      <c r="A2106" s="40"/>
      <c r="B2106" s="40"/>
      <c r="C2106" s="124"/>
      <c r="D2106" s="124">
        <v>8</v>
      </c>
      <c r="E2106" s="124" t="s">
        <v>198</v>
      </c>
      <c r="F2106" s="451"/>
      <c r="G2106" s="537"/>
      <c r="H2106" s="66"/>
      <c r="I2106" s="66" t="s">
        <v>212</v>
      </c>
      <c r="J2106" s="452"/>
      <c r="K2106" s="453">
        <v>1155700</v>
      </c>
      <c r="L2106" s="454"/>
      <c r="M2106" s="454">
        <v>393080</v>
      </c>
      <c r="N2106" s="454"/>
      <c r="O2106" s="454"/>
      <c r="P2106" s="454"/>
      <c r="Q2106" s="454"/>
      <c r="R2106" s="454"/>
      <c r="S2106" s="217">
        <f t="shared" ref="S2106" si="2470">SUM(M2106:R2106)</f>
        <v>393080</v>
      </c>
      <c r="T2106" s="217"/>
      <c r="U2106" s="454"/>
      <c r="V2106" s="454"/>
      <c r="W2106" s="454"/>
      <c r="X2106" s="454"/>
      <c r="Y2106" s="454"/>
      <c r="Z2106" s="217">
        <f>SUM(U2106:Y2106)</f>
        <v>0</v>
      </c>
      <c r="AA2106" s="217">
        <f>Z2106+T2106</f>
        <v>0</v>
      </c>
      <c r="AB2106" s="454"/>
      <c r="AC2106" s="454"/>
      <c r="AD2106" s="454"/>
      <c r="AE2106" s="454">
        <v>1222356</v>
      </c>
      <c r="AF2106" s="454"/>
      <c r="AG2106" s="217">
        <f t="shared" ref="AG2106" si="2471">SUM(AB2106:AF2106)</f>
        <v>1222356</v>
      </c>
      <c r="AH2106" s="217">
        <f t="shared" ref="AH2106" si="2472">AG2106+AA2106</f>
        <v>1222356</v>
      </c>
      <c r="AI2106" s="217">
        <v>1222356</v>
      </c>
      <c r="AJ2106" s="764">
        <f>AI2106/AH2106*100</f>
        <v>100</v>
      </c>
    </row>
    <row r="2107" spans="1:36" ht="14">
      <c r="A2107" s="160"/>
      <c r="B2107" s="160"/>
      <c r="C2107" s="161"/>
      <c r="D2107" s="161"/>
      <c r="E2107" s="161"/>
      <c r="F2107" s="482"/>
      <c r="G2107" s="537"/>
      <c r="H2107" s="66"/>
      <c r="I2107" s="66"/>
      <c r="J2107" s="454"/>
      <c r="K2107" s="483"/>
      <c r="L2107" s="454"/>
      <c r="M2107" s="454"/>
      <c r="N2107" s="454"/>
      <c r="O2107" s="454"/>
      <c r="P2107" s="454"/>
      <c r="Q2107" s="454"/>
      <c r="R2107" s="454"/>
      <c r="S2107" s="217"/>
      <c r="T2107" s="217"/>
      <c r="U2107" s="454"/>
      <c r="V2107" s="454"/>
      <c r="W2107" s="454"/>
      <c r="X2107" s="454"/>
      <c r="Y2107" s="454"/>
      <c r="Z2107" s="217"/>
      <c r="AA2107" s="217"/>
      <c r="AB2107" s="454"/>
      <c r="AC2107" s="454"/>
      <c r="AD2107" s="454"/>
      <c r="AE2107" s="454"/>
      <c r="AF2107" s="454"/>
      <c r="AG2107" s="217"/>
      <c r="AH2107" s="217"/>
      <c r="AI2107" s="217"/>
      <c r="AJ2107" s="764"/>
    </row>
    <row r="2108" spans="1:36" ht="14">
      <c r="A2108" s="160"/>
      <c r="B2108" s="160"/>
      <c r="C2108" s="161"/>
      <c r="D2108" s="161"/>
      <c r="E2108" s="161"/>
      <c r="F2108" s="64"/>
      <c r="G2108" s="64"/>
      <c r="H2108" s="65"/>
      <c r="I2108" s="64" t="s">
        <v>38</v>
      </c>
      <c r="J2108" s="170">
        <f t="shared" ref="J2108:K2108" si="2473">SUM(J2106:J2107)</f>
        <v>0</v>
      </c>
      <c r="K2108" s="212">
        <f t="shared" si="2473"/>
        <v>1155700</v>
      </c>
      <c r="L2108" s="170">
        <f>SUM(L2106:L2107)</f>
        <v>0</v>
      </c>
      <c r="M2108" s="170">
        <f t="shared" ref="M2108:T2108" si="2474">SUM(M2106:M2107)</f>
        <v>393080</v>
      </c>
      <c r="N2108" s="170">
        <f t="shared" si="2474"/>
        <v>0</v>
      </c>
      <c r="O2108" s="170">
        <f t="shared" si="2474"/>
        <v>0</v>
      </c>
      <c r="P2108" s="170">
        <f t="shared" si="2474"/>
        <v>0</v>
      </c>
      <c r="Q2108" s="170">
        <f t="shared" si="2474"/>
        <v>0</v>
      </c>
      <c r="R2108" s="170">
        <f t="shared" si="2474"/>
        <v>0</v>
      </c>
      <c r="S2108" s="170">
        <f t="shared" si="2474"/>
        <v>393080</v>
      </c>
      <c r="T2108" s="170">
        <f t="shared" si="2474"/>
        <v>0</v>
      </c>
      <c r="U2108" s="170"/>
      <c r="V2108" s="170"/>
      <c r="W2108" s="170"/>
      <c r="X2108" s="170"/>
      <c r="Y2108" s="170"/>
      <c r="Z2108" s="170">
        <f t="shared" ref="Z2108:AA2108" si="2475">SUM(Z2106:Z2107)</f>
        <v>0</v>
      </c>
      <c r="AA2108" s="170">
        <f t="shared" si="2475"/>
        <v>0</v>
      </c>
      <c r="AB2108" s="170"/>
      <c r="AC2108" s="170"/>
      <c r="AD2108" s="170"/>
      <c r="AE2108" s="170">
        <f t="shared" ref="AE2108:AH2108" si="2476">SUM(AE2106:AE2107)</f>
        <v>1222356</v>
      </c>
      <c r="AF2108" s="170"/>
      <c r="AG2108" s="170">
        <f t="shared" si="2476"/>
        <v>1222356</v>
      </c>
      <c r="AH2108" s="170">
        <f t="shared" si="2476"/>
        <v>1222356</v>
      </c>
      <c r="AI2108" s="170">
        <f t="shared" ref="AI2108" si="2477">SUM(AI2106:AI2107)</f>
        <v>1222356</v>
      </c>
      <c r="AJ2108" s="789">
        <f>AI2108/AH2108*100</f>
        <v>100</v>
      </c>
    </row>
    <row r="2109" spans="1:36" ht="5.5" customHeight="1">
      <c r="A2109" s="40"/>
      <c r="B2109" s="40"/>
      <c r="C2109" s="124"/>
      <c r="D2109" s="124"/>
      <c r="E2109" s="124"/>
      <c r="F2109" s="451"/>
      <c r="G2109" s="41"/>
      <c r="H2109" s="66"/>
      <c r="I2109" s="66"/>
      <c r="J2109" s="452"/>
      <c r="K2109" s="453"/>
      <c r="L2109" s="454"/>
      <c r="M2109" s="454"/>
      <c r="N2109" s="454"/>
      <c r="O2109" s="454"/>
      <c r="P2109" s="454"/>
      <c r="Q2109" s="454"/>
      <c r="R2109" s="454"/>
      <c r="S2109" s="526"/>
      <c r="T2109" s="526"/>
      <c r="U2109" s="454"/>
      <c r="V2109" s="454"/>
      <c r="W2109" s="454"/>
      <c r="X2109" s="454"/>
      <c r="Y2109" s="454"/>
      <c r="Z2109" s="526"/>
      <c r="AA2109" s="526"/>
      <c r="AB2109" s="454"/>
      <c r="AC2109" s="454"/>
      <c r="AD2109" s="454"/>
      <c r="AE2109" s="454"/>
      <c r="AF2109" s="454"/>
      <c r="AG2109" s="526"/>
      <c r="AH2109" s="526"/>
      <c r="AI2109" s="526"/>
      <c r="AJ2109" s="779"/>
    </row>
    <row r="2110" spans="1:36" ht="14">
      <c r="A2110" s="40"/>
      <c r="B2110" s="40"/>
      <c r="C2110" s="124"/>
      <c r="D2110" s="124"/>
      <c r="E2110" s="124"/>
      <c r="F2110" s="42"/>
      <c r="G2110" s="42"/>
      <c r="H2110" s="129"/>
      <c r="I2110" s="42" t="s">
        <v>37</v>
      </c>
      <c r="J2110" s="488"/>
      <c r="K2110" s="489">
        <f>SUM(K2100:K2109)</f>
        <v>4622800</v>
      </c>
      <c r="L2110" s="490">
        <f>SUM(L2100:L2109)</f>
        <v>0</v>
      </c>
      <c r="M2110" s="530">
        <f t="shared" ref="M2110:S2110" si="2478">SUM(M2096:M2109)</f>
        <v>1572320</v>
      </c>
      <c r="N2110" s="530">
        <f t="shared" si="2478"/>
        <v>0</v>
      </c>
      <c r="O2110" s="530">
        <f t="shared" si="2478"/>
        <v>0</v>
      </c>
      <c r="P2110" s="530">
        <f t="shared" si="2478"/>
        <v>0</v>
      </c>
      <c r="Q2110" s="530">
        <f t="shared" si="2478"/>
        <v>0</v>
      </c>
      <c r="R2110" s="530">
        <f t="shared" si="2478"/>
        <v>0</v>
      </c>
      <c r="S2110" s="530">
        <f t="shared" si="2478"/>
        <v>1572320</v>
      </c>
      <c r="T2110" s="530">
        <f>SUM(T2098:T2108)/2</f>
        <v>393080</v>
      </c>
      <c r="U2110" s="530">
        <f t="shared" ref="U2110:AA2110" si="2479">SUM(U2098:U2108)/2</f>
        <v>0</v>
      </c>
      <c r="V2110" s="530">
        <f t="shared" si="2479"/>
        <v>0</v>
      </c>
      <c r="W2110" s="530">
        <f t="shared" si="2479"/>
        <v>0</v>
      </c>
      <c r="X2110" s="530">
        <f t="shared" si="2479"/>
        <v>0</v>
      </c>
      <c r="Y2110" s="530">
        <f t="shared" si="2479"/>
        <v>0</v>
      </c>
      <c r="Z2110" s="530">
        <f t="shared" si="2479"/>
        <v>0</v>
      </c>
      <c r="AA2110" s="530">
        <f t="shared" si="2479"/>
        <v>393080</v>
      </c>
      <c r="AB2110" s="530">
        <f t="shared" ref="AB2110:AH2110" si="2480">SUM(AB2098:AB2108)/2</f>
        <v>0</v>
      </c>
      <c r="AC2110" s="530">
        <f t="shared" si="2480"/>
        <v>0</v>
      </c>
      <c r="AD2110" s="530">
        <f t="shared" si="2480"/>
        <v>0</v>
      </c>
      <c r="AE2110" s="530">
        <f t="shared" si="2480"/>
        <v>1984408</v>
      </c>
      <c r="AF2110" s="530">
        <f t="shared" si="2480"/>
        <v>0</v>
      </c>
      <c r="AG2110" s="530">
        <f t="shared" si="2480"/>
        <v>1984408</v>
      </c>
      <c r="AH2110" s="530">
        <f t="shared" si="2480"/>
        <v>2377488</v>
      </c>
      <c r="AI2110" s="530">
        <f t="shared" ref="AI2110" si="2481">SUM(AI2098:AI2108)/2</f>
        <v>1912984</v>
      </c>
      <c r="AJ2110" s="776">
        <f>AI2110/AH2110*100</f>
        <v>80.462404016339946</v>
      </c>
    </row>
    <row r="2111" spans="1:36" ht="14">
      <c r="A2111" s="40"/>
      <c r="B2111" s="40"/>
      <c r="C2111" s="124"/>
      <c r="D2111" s="124"/>
      <c r="E2111" s="124"/>
      <c r="F2111" s="41"/>
      <c r="G2111" s="41"/>
      <c r="H2111" s="66"/>
      <c r="I2111" s="41"/>
      <c r="J2111" s="126"/>
      <c r="K2111" s="204"/>
      <c r="L2111" s="205"/>
      <c r="M2111" s="205"/>
      <c r="N2111" s="205"/>
      <c r="O2111" s="205"/>
      <c r="P2111" s="205"/>
      <c r="Q2111" s="205"/>
      <c r="R2111" s="205"/>
      <c r="S2111" s="678"/>
      <c r="T2111" s="678"/>
      <c r="U2111" s="205"/>
      <c r="V2111" s="205"/>
      <c r="W2111" s="205"/>
      <c r="X2111" s="205"/>
      <c r="Y2111" s="205"/>
      <c r="Z2111" s="678"/>
      <c r="AA2111" s="678"/>
      <c r="AB2111" s="205"/>
      <c r="AC2111" s="205"/>
      <c r="AD2111" s="205"/>
      <c r="AE2111" s="205"/>
      <c r="AF2111" s="205"/>
      <c r="AG2111" s="702"/>
      <c r="AH2111" s="702"/>
      <c r="AI2111" s="702"/>
      <c r="AJ2111" s="780"/>
    </row>
    <row r="2112" spans="1:36" ht="14">
      <c r="A2112" s="40">
        <v>8</v>
      </c>
      <c r="B2112" s="40"/>
      <c r="C2112" s="124"/>
      <c r="D2112" s="124"/>
      <c r="E2112" s="124"/>
      <c r="F2112" s="942" t="s">
        <v>582</v>
      </c>
      <c r="G2112" s="935"/>
      <c r="H2112" s="935"/>
      <c r="I2112" s="936"/>
      <c r="J2112" s="452"/>
      <c r="K2112" s="453"/>
      <c r="L2112" s="454"/>
      <c r="M2112" s="454"/>
      <c r="N2112" s="454"/>
      <c r="O2112" s="454"/>
      <c r="P2112" s="454"/>
      <c r="Q2112" s="454"/>
      <c r="R2112" s="454"/>
      <c r="S2112" s="454"/>
      <c r="T2112" s="454"/>
      <c r="U2112" s="454"/>
      <c r="V2112" s="454"/>
      <c r="W2112" s="454"/>
      <c r="X2112" s="454"/>
      <c r="Y2112" s="454"/>
      <c r="Z2112" s="454"/>
      <c r="AA2112" s="454"/>
      <c r="AB2112" s="454"/>
      <c r="AC2112" s="454"/>
      <c r="AD2112" s="454"/>
      <c r="AE2112" s="454"/>
      <c r="AF2112" s="454"/>
      <c r="AG2112" s="454"/>
      <c r="AH2112" s="454"/>
      <c r="AI2112" s="454"/>
      <c r="AJ2112" s="769"/>
    </row>
    <row r="2113" spans="1:36" ht="14">
      <c r="A2113" s="40"/>
      <c r="B2113" s="40"/>
      <c r="C2113" s="124">
        <v>2</v>
      </c>
      <c r="D2113" s="124"/>
      <c r="E2113" s="124"/>
      <c r="F2113" s="451"/>
      <c r="G2113" s="41"/>
      <c r="H2113" s="162" t="s">
        <v>211</v>
      </c>
      <c r="I2113" s="66"/>
      <c r="J2113" s="452"/>
      <c r="K2113" s="453"/>
      <c r="L2113" s="454"/>
      <c r="M2113" s="454"/>
      <c r="N2113" s="454"/>
      <c r="O2113" s="454"/>
      <c r="P2113" s="454"/>
      <c r="Q2113" s="454"/>
      <c r="R2113" s="454"/>
      <c r="S2113" s="454"/>
      <c r="T2113" s="454"/>
      <c r="U2113" s="454"/>
      <c r="V2113" s="454"/>
      <c r="W2113" s="454"/>
      <c r="X2113" s="454"/>
      <c r="Y2113" s="454"/>
      <c r="Z2113" s="454"/>
      <c r="AA2113" s="454"/>
      <c r="AB2113" s="454"/>
      <c r="AC2113" s="454"/>
      <c r="AD2113" s="454"/>
      <c r="AE2113" s="454"/>
      <c r="AF2113" s="454"/>
      <c r="AG2113" s="454"/>
      <c r="AH2113" s="454"/>
      <c r="AI2113" s="454"/>
      <c r="AJ2113" s="769"/>
    </row>
    <row r="2114" spans="1:36" ht="14">
      <c r="A2114" s="40"/>
      <c r="B2114" s="40"/>
      <c r="C2114" s="124"/>
      <c r="D2114" s="124">
        <v>8</v>
      </c>
      <c r="E2114" s="124" t="s">
        <v>198</v>
      </c>
      <c r="F2114" s="451"/>
      <c r="G2114" s="537"/>
      <c r="H2114" s="66"/>
      <c r="I2114" s="66" t="s">
        <v>212</v>
      </c>
      <c r="J2114" s="452"/>
      <c r="K2114" s="453">
        <v>1155700</v>
      </c>
      <c r="L2114" s="454"/>
      <c r="M2114" s="454"/>
      <c r="N2114" s="454"/>
      <c r="O2114" s="454"/>
      <c r="P2114" s="454">
        <v>686340</v>
      </c>
      <c r="Q2114" s="454"/>
      <c r="R2114" s="454"/>
      <c r="S2114" s="217">
        <f t="shared" ref="S2114" si="2482">SUM(M2114:R2114)</f>
        <v>686340</v>
      </c>
      <c r="T2114" s="217">
        <f t="shared" ref="T2114" si="2483">S2114+L2114</f>
        <v>686340</v>
      </c>
      <c r="U2114" s="454"/>
      <c r="V2114" s="454"/>
      <c r="W2114" s="454">
        <v>-686340</v>
      </c>
      <c r="X2114" s="454"/>
      <c r="Y2114" s="454"/>
      <c r="Z2114" s="217">
        <f>SUM(U2114:Y2114)</f>
        <v>-686340</v>
      </c>
      <c r="AA2114" s="217">
        <f>Z2114+T2114</f>
        <v>0</v>
      </c>
      <c r="AB2114" s="454"/>
      <c r="AC2114" s="454"/>
      <c r="AD2114" s="454"/>
      <c r="AE2114" s="454"/>
      <c r="AF2114" s="454"/>
      <c r="AG2114" s="217">
        <f t="shared" ref="AG2114:AG2115" si="2484">SUM(AB2114:AF2114)</f>
        <v>0</v>
      </c>
      <c r="AH2114" s="217">
        <f t="shared" ref="AH2114:AH2115" si="2485">AG2114+AA2114</f>
        <v>0</v>
      </c>
      <c r="AI2114" s="217"/>
      <c r="AJ2114" s="764"/>
    </row>
    <row r="2115" spans="1:36" ht="14">
      <c r="A2115" s="160"/>
      <c r="B2115" s="160"/>
      <c r="C2115" s="161"/>
      <c r="D2115" s="161">
        <v>8</v>
      </c>
      <c r="E2115" s="161" t="s">
        <v>199</v>
      </c>
      <c r="F2115" s="482"/>
      <c r="G2115" s="537"/>
      <c r="H2115" s="66"/>
      <c r="I2115" s="66" t="s">
        <v>212</v>
      </c>
      <c r="J2115" s="454"/>
      <c r="K2115" s="483"/>
      <c r="L2115" s="454"/>
      <c r="M2115" s="454"/>
      <c r="N2115" s="454"/>
      <c r="O2115" s="454"/>
      <c r="P2115" s="454"/>
      <c r="Q2115" s="454"/>
      <c r="R2115" s="454"/>
      <c r="S2115" s="217"/>
      <c r="T2115" s="217"/>
      <c r="U2115" s="454"/>
      <c r="V2115" s="454"/>
      <c r="W2115" s="454">
        <v>686340</v>
      </c>
      <c r="X2115" s="454"/>
      <c r="Y2115" s="454"/>
      <c r="Z2115" s="217">
        <f>SUM(U2115:Y2115)</f>
        <v>686340</v>
      </c>
      <c r="AA2115" s="217">
        <f>Z2115+T2115</f>
        <v>686340</v>
      </c>
      <c r="AB2115" s="454"/>
      <c r="AC2115" s="454"/>
      <c r="AD2115" s="454"/>
      <c r="AE2115" s="454"/>
      <c r="AF2115" s="454"/>
      <c r="AG2115" s="217">
        <f t="shared" si="2484"/>
        <v>0</v>
      </c>
      <c r="AH2115" s="217">
        <f t="shared" si="2485"/>
        <v>686340</v>
      </c>
      <c r="AI2115" s="217">
        <v>686340</v>
      </c>
      <c r="AJ2115" s="764">
        <f>AI2115/AH2115*100</f>
        <v>100</v>
      </c>
    </row>
    <row r="2116" spans="1:36" ht="6" customHeight="1">
      <c r="A2116" s="40"/>
      <c r="B2116" s="40"/>
      <c r="C2116" s="124"/>
      <c r="D2116" s="124"/>
      <c r="E2116" s="124"/>
      <c r="F2116" s="451"/>
      <c r="G2116" s="41"/>
      <c r="H2116" s="66"/>
      <c r="I2116" s="66"/>
      <c r="J2116" s="452"/>
      <c r="K2116" s="453"/>
      <c r="L2116" s="454"/>
      <c r="M2116" s="454"/>
      <c r="N2116" s="454"/>
      <c r="O2116" s="454"/>
      <c r="P2116" s="454"/>
      <c r="Q2116" s="454"/>
      <c r="R2116" s="454"/>
      <c r="S2116" s="526"/>
      <c r="T2116" s="526"/>
      <c r="U2116" s="454"/>
      <c r="V2116" s="454"/>
      <c r="W2116" s="454"/>
      <c r="X2116" s="454"/>
      <c r="Y2116" s="454"/>
      <c r="Z2116" s="526"/>
      <c r="AA2116" s="526"/>
      <c r="AB2116" s="454"/>
      <c r="AC2116" s="454"/>
      <c r="AD2116" s="454"/>
      <c r="AE2116" s="454"/>
      <c r="AF2116" s="454"/>
      <c r="AG2116" s="526"/>
      <c r="AH2116" s="526"/>
      <c r="AI2116" s="526"/>
      <c r="AJ2116" s="779"/>
    </row>
    <row r="2117" spans="1:36" ht="14">
      <c r="A2117" s="40"/>
      <c r="B2117" s="40"/>
      <c r="C2117" s="124"/>
      <c r="D2117" s="124"/>
      <c r="E2117" s="124"/>
      <c r="F2117" s="42"/>
      <c r="G2117" s="42"/>
      <c r="H2117" s="129"/>
      <c r="I2117" s="42" t="s">
        <v>37</v>
      </c>
      <c r="J2117" s="488"/>
      <c r="K2117" s="489">
        <f>SUM(K2114:K2116)</f>
        <v>1155700</v>
      </c>
      <c r="L2117" s="490">
        <f>SUM(L2114:L2116)</f>
        <v>0</v>
      </c>
      <c r="M2117" s="530">
        <f t="shared" ref="M2117:T2117" si="2486">SUM(M2111:M2116)</f>
        <v>0</v>
      </c>
      <c r="N2117" s="530">
        <f t="shared" si="2486"/>
        <v>0</v>
      </c>
      <c r="O2117" s="530">
        <f t="shared" si="2486"/>
        <v>0</v>
      </c>
      <c r="P2117" s="530">
        <f t="shared" si="2486"/>
        <v>686340</v>
      </c>
      <c r="Q2117" s="530">
        <f t="shared" si="2486"/>
        <v>0</v>
      </c>
      <c r="R2117" s="530">
        <f t="shared" si="2486"/>
        <v>0</v>
      </c>
      <c r="S2117" s="530">
        <f t="shared" si="2486"/>
        <v>686340</v>
      </c>
      <c r="T2117" s="530">
        <f t="shared" si="2486"/>
        <v>686340</v>
      </c>
      <c r="U2117" s="530"/>
      <c r="V2117" s="530"/>
      <c r="W2117" s="530">
        <f>SUM(W2114:W2116)</f>
        <v>0</v>
      </c>
      <c r="X2117" s="530"/>
      <c r="Y2117" s="530"/>
      <c r="Z2117" s="530">
        <f t="shared" ref="Z2117:AA2117" si="2487">SUM(Z2111:Z2116)</f>
        <v>0</v>
      </c>
      <c r="AA2117" s="530">
        <f t="shared" si="2487"/>
        <v>686340</v>
      </c>
      <c r="AB2117" s="530"/>
      <c r="AC2117" s="530"/>
      <c r="AD2117" s="530">
        <f>SUM(AD2114:AD2116)</f>
        <v>0</v>
      </c>
      <c r="AE2117" s="530"/>
      <c r="AF2117" s="530"/>
      <c r="AG2117" s="530">
        <f t="shared" ref="AG2117:AI2117" si="2488">SUM(AG2111:AG2116)</f>
        <v>0</v>
      </c>
      <c r="AH2117" s="530">
        <f t="shared" si="2488"/>
        <v>686340</v>
      </c>
      <c r="AI2117" s="530">
        <f t="shared" si="2488"/>
        <v>686340</v>
      </c>
      <c r="AJ2117" s="776">
        <f>AI2117/AH2117*100</f>
        <v>100</v>
      </c>
    </row>
    <row r="2118" spans="1:36" ht="14">
      <c r="A2118" s="40"/>
      <c r="B2118" s="40"/>
      <c r="C2118" s="124"/>
      <c r="D2118" s="124"/>
      <c r="E2118" s="124"/>
      <c r="F2118" s="41"/>
      <c r="G2118" s="41"/>
      <c r="H2118" s="66"/>
      <c r="I2118" s="41"/>
      <c r="J2118" s="126"/>
      <c r="K2118" s="204"/>
      <c r="L2118" s="205"/>
      <c r="M2118" s="205"/>
      <c r="N2118" s="205"/>
      <c r="O2118" s="205"/>
      <c r="P2118" s="205"/>
      <c r="Q2118" s="205"/>
      <c r="R2118" s="205"/>
      <c r="S2118" s="678"/>
      <c r="T2118" s="678"/>
      <c r="U2118" s="205"/>
      <c r="V2118" s="205"/>
      <c r="W2118" s="205"/>
      <c r="X2118" s="205"/>
      <c r="Y2118" s="205"/>
      <c r="Z2118" s="678"/>
      <c r="AA2118" s="678"/>
      <c r="AB2118" s="205"/>
      <c r="AC2118" s="205"/>
      <c r="AD2118" s="205"/>
      <c r="AE2118" s="205"/>
      <c r="AF2118" s="205"/>
      <c r="AG2118" s="702"/>
      <c r="AH2118" s="702"/>
      <c r="AI2118" s="702"/>
      <c r="AJ2118" s="780"/>
    </row>
    <row r="2119" spans="1:36" ht="14">
      <c r="A2119" s="40">
        <v>9</v>
      </c>
      <c r="B2119" s="40"/>
      <c r="C2119" s="124"/>
      <c r="D2119" s="124"/>
      <c r="E2119" s="124"/>
      <c r="F2119" s="942" t="s">
        <v>583</v>
      </c>
      <c r="G2119" s="935"/>
      <c r="H2119" s="935"/>
      <c r="I2119" s="936"/>
      <c r="J2119" s="452"/>
      <c r="K2119" s="453"/>
      <c r="L2119" s="454"/>
      <c r="M2119" s="454"/>
      <c r="N2119" s="454"/>
      <c r="O2119" s="454"/>
      <c r="P2119" s="454"/>
      <c r="Q2119" s="454"/>
      <c r="R2119" s="454"/>
      <c r="S2119" s="454"/>
      <c r="T2119" s="454"/>
      <c r="U2119" s="454"/>
      <c r="V2119" s="454"/>
      <c r="W2119" s="454"/>
      <c r="X2119" s="454"/>
      <c r="Y2119" s="454"/>
      <c r="Z2119" s="454"/>
      <c r="AA2119" s="454"/>
      <c r="AB2119" s="454"/>
      <c r="AC2119" s="454"/>
      <c r="AD2119" s="454"/>
      <c r="AE2119" s="454"/>
      <c r="AF2119" s="454"/>
      <c r="AG2119" s="454"/>
      <c r="AH2119" s="454"/>
      <c r="AI2119" s="454"/>
      <c r="AJ2119" s="769"/>
    </row>
    <row r="2120" spans="1:36" ht="14">
      <c r="A2120" s="40"/>
      <c r="B2120" s="40"/>
      <c r="C2120" s="124">
        <v>2</v>
      </c>
      <c r="D2120" s="124"/>
      <c r="E2120" s="124"/>
      <c r="F2120" s="451"/>
      <c r="G2120" s="41"/>
      <c r="H2120" s="162" t="s">
        <v>211</v>
      </c>
      <c r="I2120" s="66"/>
      <c r="J2120" s="452"/>
      <c r="K2120" s="453"/>
      <c r="L2120" s="454"/>
      <c r="M2120" s="454"/>
      <c r="N2120" s="454"/>
      <c r="O2120" s="454"/>
      <c r="P2120" s="454"/>
      <c r="Q2120" s="454"/>
      <c r="R2120" s="454"/>
      <c r="S2120" s="454"/>
      <c r="T2120" s="454"/>
      <c r="U2120" s="454"/>
      <c r="V2120" s="454"/>
      <c r="W2120" s="454"/>
      <c r="X2120" s="454"/>
      <c r="Y2120" s="454"/>
      <c r="Z2120" s="454"/>
      <c r="AA2120" s="454"/>
      <c r="AB2120" s="454"/>
      <c r="AC2120" s="454"/>
      <c r="AD2120" s="454"/>
      <c r="AE2120" s="454"/>
      <c r="AF2120" s="454"/>
      <c r="AG2120" s="454"/>
      <c r="AH2120" s="454"/>
      <c r="AI2120" s="454"/>
      <c r="AJ2120" s="769"/>
    </row>
    <row r="2121" spans="1:36" ht="14">
      <c r="A2121" s="40"/>
      <c r="B2121" s="40"/>
      <c r="C2121" s="124"/>
      <c r="D2121" s="124">
        <v>8</v>
      </c>
      <c r="E2121" s="124" t="s">
        <v>199</v>
      </c>
      <c r="F2121" s="451"/>
      <c r="G2121" s="537"/>
      <c r="H2121" s="66"/>
      <c r="I2121" s="66" t="s">
        <v>212</v>
      </c>
      <c r="J2121" s="452"/>
      <c r="K2121" s="453">
        <v>1155700</v>
      </c>
      <c r="L2121" s="454"/>
      <c r="M2121" s="454"/>
      <c r="N2121" s="454"/>
      <c r="O2121" s="454"/>
      <c r="P2121" s="454"/>
      <c r="Q2121" s="454">
        <v>1000000</v>
      </c>
      <c r="R2121" s="454"/>
      <c r="S2121" s="217">
        <f t="shared" ref="S2121" si="2489">SUM(M2121:R2121)</f>
        <v>1000000</v>
      </c>
      <c r="T2121" s="217">
        <f t="shared" ref="T2121" si="2490">S2121+L2121</f>
        <v>1000000</v>
      </c>
      <c r="U2121" s="454"/>
      <c r="V2121" s="454"/>
      <c r="W2121" s="454"/>
      <c r="X2121" s="454"/>
      <c r="Y2121" s="454"/>
      <c r="Z2121" s="217">
        <f>SUM(U2121:Y2121)</f>
        <v>0</v>
      </c>
      <c r="AA2121" s="217">
        <f>Z2121+T2121</f>
        <v>1000000</v>
      </c>
      <c r="AB2121" s="454"/>
      <c r="AC2121" s="454"/>
      <c r="AD2121" s="454"/>
      <c r="AE2121" s="454"/>
      <c r="AF2121" s="454"/>
      <c r="AG2121" s="217">
        <f t="shared" ref="AG2121" si="2491">SUM(AB2121:AF2121)</f>
        <v>0</v>
      </c>
      <c r="AH2121" s="217">
        <f t="shared" ref="AH2121" si="2492">AG2121+AA2121</f>
        <v>1000000</v>
      </c>
      <c r="AI2121" s="217">
        <v>1000000</v>
      </c>
      <c r="AJ2121" s="764">
        <f>AI2121/AH2121*100</f>
        <v>100</v>
      </c>
    </row>
    <row r="2122" spans="1:36" ht="14">
      <c r="A2122" s="40"/>
      <c r="B2122" s="40"/>
      <c r="C2122" s="124"/>
      <c r="D2122" s="124"/>
      <c r="E2122" s="124"/>
      <c r="F2122" s="451"/>
      <c r="G2122" s="41"/>
      <c r="H2122" s="66"/>
      <c r="I2122" s="66"/>
      <c r="J2122" s="452"/>
      <c r="K2122" s="453"/>
      <c r="L2122" s="454"/>
      <c r="M2122" s="454"/>
      <c r="N2122" s="454"/>
      <c r="O2122" s="454"/>
      <c r="P2122" s="454"/>
      <c r="Q2122" s="454"/>
      <c r="R2122" s="454"/>
      <c r="S2122" s="526"/>
      <c r="T2122" s="526"/>
      <c r="U2122" s="454"/>
      <c r="V2122" s="454"/>
      <c r="W2122" s="454"/>
      <c r="X2122" s="454"/>
      <c r="Y2122" s="454"/>
      <c r="Z2122" s="526"/>
      <c r="AA2122" s="526"/>
      <c r="AB2122" s="454"/>
      <c r="AC2122" s="454"/>
      <c r="AD2122" s="454"/>
      <c r="AE2122" s="454"/>
      <c r="AF2122" s="454"/>
      <c r="AG2122" s="526"/>
      <c r="AH2122" s="526"/>
      <c r="AI2122" s="526"/>
      <c r="AJ2122" s="779"/>
    </row>
    <row r="2123" spans="1:36" ht="14">
      <c r="A2123" s="40"/>
      <c r="B2123" s="40"/>
      <c r="C2123" s="124"/>
      <c r="D2123" s="124"/>
      <c r="E2123" s="124"/>
      <c r="F2123" s="42"/>
      <c r="G2123" s="42"/>
      <c r="H2123" s="129"/>
      <c r="I2123" s="42" t="s">
        <v>37</v>
      </c>
      <c r="J2123" s="488"/>
      <c r="K2123" s="489">
        <f>SUM(K2121:K2122)</f>
        <v>1155700</v>
      </c>
      <c r="L2123" s="490">
        <f>SUM(L2121:L2122)</f>
        <v>0</v>
      </c>
      <c r="M2123" s="530">
        <f t="shared" ref="M2123:T2123" si="2493">SUM(M2118:M2122)</f>
        <v>0</v>
      </c>
      <c r="N2123" s="530">
        <f t="shared" si="2493"/>
        <v>0</v>
      </c>
      <c r="O2123" s="530">
        <f t="shared" si="2493"/>
        <v>0</v>
      </c>
      <c r="P2123" s="530">
        <f t="shared" si="2493"/>
        <v>0</v>
      </c>
      <c r="Q2123" s="530">
        <f t="shared" si="2493"/>
        <v>1000000</v>
      </c>
      <c r="R2123" s="530">
        <f t="shared" si="2493"/>
        <v>0</v>
      </c>
      <c r="S2123" s="530">
        <f t="shared" si="2493"/>
        <v>1000000</v>
      </c>
      <c r="T2123" s="530">
        <f t="shared" si="2493"/>
        <v>1000000</v>
      </c>
      <c r="U2123" s="530"/>
      <c r="V2123" s="530"/>
      <c r="W2123" s="530"/>
      <c r="X2123" s="530"/>
      <c r="Y2123" s="530"/>
      <c r="Z2123" s="530">
        <f t="shared" ref="Z2123:AA2123" si="2494">SUM(Z2118:Z2122)</f>
        <v>0</v>
      </c>
      <c r="AA2123" s="530">
        <f t="shared" si="2494"/>
        <v>1000000</v>
      </c>
      <c r="AB2123" s="530"/>
      <c r="AC2123" s="530"/>
      <c r="AD2123" s="530"/>
      <c r="AE2123" s="530"/>
      <c r="AF2123" s="530"/>
      <c r="AG2123" s="530">
        <f t="shared" ref="AG2123:AI2123" si="2495">SUM(AG2118:AG2122)</f>
        <v>0</v>
      </c>
      <c r="AH2123" s="530">
        <f t="shared" si="2495"/>
        <v>1000000</v>
      </c>
      <c r="AI2123" s="530">
        <f t="shared" si="2495"/>
        <v>1000000</v>
      </c>
      <c r="AJ2123" s="776">
        <f>AI2123/AH2123*100</f>
        <v>100</v>
      </c>
    </row>
    <row r="2124" spans="1:36" ht="14">
      <c r="A2124" s="40"/>
      <c r="B2124" s="40"/>
      <c r="C2124" s="124"/>
      <c r="D2124" s="124"/>
      <c r="E2124" s="124"/>
      <c r="F2124" s="41"/>
      <c r="G2124" s="41"/>
      <c r="H2124" s="66"/>
      <c r="I2124" s="41"/>
      <c r="J2124" s="126"/>
      <c r="K2124" s="204"/>
      <c r="L2124" s="205"/>
      <c r="M2124" s="205"/>
      <c r="N2124" s="205"/>
      <c r="O2124" s="205"/>
      <c r="P2124" s="205"/>
      <c r="Q2124" s="205"/>
      <c r="R2124" s="205"/>
      <c r="S2124" s="678"/>
      <c r="T2124" s="678"/>
      <c r="U2124" s="205"/>
      <c r="V2124" s="205"/>
      <c r="W2124" s="205"/>
      <c r="X2124" s="205"/>
      <c r="Y2124" s="205"/>
      <c r="Z2124" s="678"/>
      <c r="AA2124" s="678"/>
      <c r="AB2124" s="205"/>
      <c r="AC2124" s="205"/>
      <c r="AD2124" s="205"/>
      <c r="AE2124" s="205"/>
      <c r="AF2124" s="205"/>
      <c r="AG2124" s="702"/>
      <c r="AH2124" s="702"/>
      <c r="AI2124" s="702"/>
      <c r="AJ2124" s="780"/>
    </row>
    <row r="2125" spans="1:36" ht="14">
      <c r="A2125" s="40">
        <v>10</v>
      </c>
      <c r="B2125" s="40"/>
      <c r="C2125" s="124"/>
      <c r="D2125" s="124"/>
      <c r="E2125" s="124"/>
      <c r="F2125" s="942" t="s">
        <v>584</v>
      </c>
      <c r="G2125" s="935"/>
      <c r="H2125" s="935"/>
      <c r="I2125" s="936"/>
      <c r="J2125" s="452"/>
      <c r="K2125" s="453"/>
      <c r="L2125" s="454"/>
      <c r="M2125" s="454"/>
      <c r="N2125" s="454"/>
      <c r="O2125" s="454"/>
      <c r="P2125" s="454"/>
      <c r="Q2125" s="454"/>
      <c r="R2125" s="454"/>
      <c r="S2125" s="454"/>
      <c r="T2125" s="454"/>
      <c r="U2125" s="454"/>
      <c r="V2125" s="454"/>
      <c r="W2125" s="454"/>
      <c r="X2125" s="454"/>
      <c r="Y2125" s="454"/>
      <c r="Z2125" s="454"/>
      <c r="AA2125" s="454"/>
      <c r="AB2125" s="454"/>
      <c r="AC2125" s="454"/>
      <c r="AD2125" s="454"/>
      <c r="AE2125" s="454"/>
      <c r="AF2125" s="454"/>
      <c r="AG2125" s="454"/>
      <c r="AH2125" s="454"/>
      <c r="AI2125" s="454"/>
      <c r="AJ2125" s="769"/>
    </row>
    <row r="2126" spans="1:36" ht="12.5" customHeight="1">
      <c r="A2126" s="40"/>
      <c r="B2126" s="40"/>
      <c r="C2126" s="124">
        <v>2</v>
      </c>
      <c r="D2126" s="124"/>
      <c r="E2126" s="124"/>
      <c r="F2126" s="451"/>
      <c r="G2126" s="41"/>
      <c r="H2126" s="162" t="s">
        <v>211</v>
      </c>
      <c r="I2126" s="66"/>
      <c r="J2126" s="452"/>
      <c r="K2126" s="453"/>
      <c r="L2126" s="454"/>
      <c r="M2126" s="454"/>
      <c r="N2126" s="454"/>
      <c r="O2126" s="454"/>
      <c r="P2126" s="454"/>
      <c r="Q2126" s="454"/>
      <c r="R2126" s="454"/>
      <c r="S2126" s="454"/>
      <c r="T2126" s="454"/>
      <c r="U2126" s="454"/>
      <c r="V2126" s="454"/>
      <c r="W2126" s="454"/>
      <c r="X2126" s="454"/>
      <c r="Y2126" s="454"/>
      <c r="Z2126" s="454"/>
      <c r="AA2126" s="454"/>
      <c r="AB2126" s="454"/>
      <c r="AC2126" s="454"/>
      <c r="AD2126" s="454"/>
      <c r="AE2126" s="454"/>
      <c r="AF2126" s="454"/>
      <c r="AG2126" s="454"/>
      <c r="AH2126" s="454"/>
      <c r="AI2126" s="454"/>
      <c r="AJ2126" s="769"/>
    </row>
    <row r="2127" spans="1:36" ht="12.5" customHeight="1">
      <c r="A2127" s="40"/>
      <c r="B2127" s="40"/>
      <c r="C2127" s="124"/>
      <c r="D2127" s="124">
        <v>8</v>
      </c>
      <c r="E2127" s="124" t="s">
        <v>198</v>
      </c>
      <c r="F2127" s="451"/>
      <c r="G2127" s="537"/>
      <c r="H2127" s="66"/>
      <c r="I2127" s="66" t="s">
        <v>212</v>
      </c>
      <c r="J2127" s="452"/>
      <c r="K2127" s="453">
        <v>1155700</v>
      </c>
      <c r="L2127" s="454"/>
      <c r="M2127" s="454">
        <v>500000</v>
      </c>
      <c r="N2127" s="454"/>
      <c r="O2127" s="454"/>
      <c r="P2127" s="454"/>
      <c r="Q2127" s="454"/>
      <c r="R2127" s="454"/>
      <c r="S2127" s="217">
        <f t="shared" ref="S2127" si="2496">SUM(M2127:R2127)</f>
        <v>500000</v>
      </c>
      <c r="T2127" s="217">
        <f t="shared" ref="T2127" si="2497">S2127+L2127</f>
        <v>500000</v>
      </c>
      <c r="U2127" s="454"/>
      <c r="V2127" s="454"/>
      <c r="W2127" s="454"/>
      <c r="X2127" s="454"/>
      <c r="Y2127" s="454"/>
      <c r="Z2127" s="217">
        <f>SUM(U2127:Y2127)</f>
        <v>0</v>
      </c>
      <c r="AA2127" s="217">
        <f>Z2127+T2127</f>
        <v>500000</v>
      </c>
      <c r="AB2127" s="454"/>
      <c r="AC2127" s="454"/>
      <c r="AD2127" s="454"/>
      <c r="AE2127" s="454"/>
      <c r="AF2127" s="454"/>
      <c r="AG2127" s="217">
        <f t="shared" ref="AG2127" si="2498">SUM(AB2127:AF2127)</f>
        <v>0</v>
      </c>
      <c r="AH2127" s="217">
        <f t="shared" ref="AH2127" si="2499">AG2127+AA2127</f>
        <v>500000</v>
      </c>
      <c r="AI2127" s="217"/>
      <c r="AJ2127" s="764"/>
    </row>
    <row r="2128" spans="1:36" ht="12.5" customHeight="1">
      <c r="A2128" s="40"/>
      <c r="B2128" s="40"/>
      <c r="C2128" s="124"/>
      <c r="D2128" s="124"/>
      <c r="E2128" s="124"/>
      <c r="F2128" s="451"/>
      <c r="G2128" s="41"/>
      <c r="H2128" s="66"/>
      <c r="I2128" s="66"/>
      <c r="J2128" s="452"/>
      <c r="K2128" s="453"/>
      <c r="L2128" s="454"/>
      <c r="M2128" s="454"/>
      <c r="N2128" s="454"/>
      <c r="O2128" s="454"/>
      <c r="P2128" s="454"/>
      <c r="Q2128" s="454"/>
      <c r="R2128" s="454"/>
      <c r="S2128" s="526"/>
      <c r="T2128" s="526"/>
      <c r="U2128" s="454"/>
      <c r="V2128" s="454"/>
      <c r="W2128" s="454"/>
      <c r="X2128" s="454"/>
      <c r="Y2128" s="454"/>
      <c r="Z2128" s="526"/>
      <c r="AA2128" s="526"/>
      <c r="AB2128" s="454"/>
      <c r="AC2128" s="454"/>
      <c r="AD2128" s="454"/>
      <c r="AE2128" s="454"/>
      <c r="AF2128" s="454"/>
      <c r="AG2128" s="526"/>
      <c r="AH2128" s="526"/>
      <c r="AI2128" s="526"/>
      <c r="AJ2128" s="779"/>
    </row>
    <row r="2129" spans="1:36" ht="12.5" customHeight="1">
      <c r="A2129" s="40"/>
      <c r="B2129" s="40"/>
      <c r="C2129" s="124"/>
      <c r="D2129" s="124"/>
      <c r="E2129" s="124"/>
      <c r="F2129" s="42"/>
      <c r="G2129" s="42"/>
      <c r="H2129" s="129"/>
      <c r="I2129" s="42" t="s">
        <v>37</v>
      </c>
      <c r="J2129" s="488"/>
      <c r="K2129" s="489">
        <f>SUM(K2127:K2128)</f>
        <v>1155700</v>
      </c>
      <c r="L2129" s="490">
        <f>SUM(L2127:L2128)</f>
        <v>0</v>
      </c>
      <c r="M2129" s="530">
        <f t="shared" ref="M2129:T2129" si="2500">SUM(M2124:M2128)</f>
        <v>500000</v>
      </c>
      <c r="N2129" s="530">
        <f t="shared" si="2500"/>
        <v>0</v>
      </c>
      <c r="O2129" s="530">
        <f t="shared" si="2500"/>
        <v>0</v>
      </c>
      <c r="P2129" s="530">
        <f t="shared" si="2500"/>
        <v>0</v>
      </c>
      <c r="Q2129" s="530">
        <f t="shared" si="2500"/>
        <v>0</v>
      </c>
      <c r="R2129" s="530">
        <f t="shared" si="2500"/>
        <v>0</v>
      </c>
      <c r="S2129" s="530">
        <f t="shared" si="2500"/>
        <v>500000</v>
      </c>
      <c r="T2129" s="530">
        <f t="shared" si="2500"/>
        <v>500000</v>
      </c>
      <c r="U2129" s="530"/>
      <c r="V2129" s="530"/>
      <c r="W2129" s="530"/>
      <c r="X2129" s="530"/>
      <c r="Y2129" s="530"/>
      <c r="Z2129" s="530">
        <f t="shared" ref="Z2129:AA2129" si="2501">SUM(Z2124:Z2128)</f>
        <v>0</v>
      </c>
      <c r="AA2129" s="530">
        <f t="shared" si="2501"/>
        <v>500000</v>
      </c>
      <c r="AB2129" s="530"/>
      <c r="AC2129" s="530"/>
      <c r="AD2129" s="530"/>
      <c r="AE2129" s="530"/>
      <c r="AF2129" s="530"/>
      <c r="AG2129" s="530">
        <f t="shared" ref="AG2129:AH2129" si="2502">SUM(AG2124:AG2128)</f>
        <v>0</v>
      </c>
      <c r="AH2129" s="530">
        <f t="shared" si="2502"/>
        <v>500000</v>
      </c>
      <c r="AI2129" s="530"/>
      <c r="AJ2129" s="776"/>
    </row>
    <row r="2130" spans="1:36" ht="12.5" customHeight="1">
      <c r="A2130" s="160"/>
      <c r="B2130" s="160"/>
      <c r="C2130" s="161"/>
      <c r="D2130" s="161"/>
      <c r="E2130" s="161"/>
      <c r="F2130" s="41"/>
      <c r="G2130" s="41"/>
      <c r="H2130" s="66"/>
      <c r="I2130" s="41"/>
      <c r="J2130" s="205"/>
      <c r="K2130" s="204"/>
      <c r="L2130" s="205"/>
      <c r="M2130" s="678"/>
      <c r="N2130" s="678"/>
      <c r="O2130" s="678"/>
      <c r="P2130" s="678"/>
      <c r="Q2130" s="678"/>
      <c r="R2130" s="678"/>
      <c r="S2130" s="678"/>
      <c r="T2130" s="678"/>
      <c r="U2130" s="678"/>
      <c r="V2130" s="678"/>
      <c r="W2130" s="678"/>
      <c r="X2130" s="678"/>
      <c r="Y2130" s="678"/>
      <c r="Z2130" s="678"/>
      <c r="AA2130" s="678"/>
      <c r="AB2130" s="702"/>
      <c r="AC2130" s="702"/>
      <c r="AD2130" s="702"/>
      <c r="AE2130" s="702"/>
      <c r="AF2130" s="702"/>
      <c r="AG2130" s="702"/>
      <c r="AH2130" s="702"/>
      <c r="AI2130" s="702"/>
      <c r="AJ2130" s="780"/>
    </row>
    <row r="2131" spans="1:36" ht="14">
      <c r="A2131" s="40">
        <v>11</v>
      </c>
      <c r="B2131" s="40"/>
      <c r="C2131" s="124"/>
      <c r="D2131" s="124"/>
      <c r="E2131" s="124"/>
      <c r="F2131" s="942" t="s">
        <v>599</v>
      </c>
      <c r="G2131" s="935"/>
      <c r="H2131" s="935"/>
      <c r="I2131" s="936"/>
      <c r="J2131" s="452"/>
      <c r="K2131" s="453"/>
      <c r="L2131" s="454"/>
      <c r="M2131" s="454"/>
      <c r="N2131" s="454"/>
      <c r="O2131" s="454"/>
      <c r="P2131" s="454"/>
      <c r="Q2131" s="454"/>
      <c r="R2131" s="454"/>
      <c r="S2131" s="454"/>
      <c r="T2131" s="454"/>
      <c r="U2131" s="454"/>
      <c r="V2131" s="454"/>
      <c r="W2131" s="454"/>
      <c r="X2131" s="454"/>
      <c r="Y2131" s="454"/>
      <c r="Z2131" s="454"/>
      <c r="AA2131" s="454"/>
      <c r="AB2131" s="454"/>
      <c r="AC2131" s="454"/>
      <c r="AD2131" s="454"/>
      <c r="AE2131" s="454"/>
      <c r="AF2131" s="454"/>
      <c r="AG2131" s="454"/>
      <c r="AH2131" s="454"/>
      <c r="AI2131" s="454"/>
      <c r="AJ2131" s="769"/>
    </row>
    <row r="2132" spans="1:36" ht="14">
      <c r="A2132" s="40"/>
      <c r="B2132" s="40"/>
      <c r="C2132" s="124">
        <v>2</v>
      </c>
      <c r="D2132" s="124"/>
      <c r="E2132" s="124"/>
      <c r="F2132" s="451"/>
      <c r="G2132" s="41"/>
      <c r="H2132" s="162" t="s">
        <v>211</v>
      </c>
      <c r="I2132" s="66"/>
      <c r="J2132" s="452"/>
      <c r="K2132" s="453"/>
      <c r="L2132" s="454"/>
      <c r="M2132" s="454"/>
      <c r="N2132" s="454"/>
      <c r="O2132" s="454"/>
      <c r="P2132" s="454"/>
      <c r="Q2132" s="454"/>
      <c r="R2132" s="454"/>
      <c r="S2132" s="454"/>
      <c r="T2132" s="454"/>
      <c r="U2132" s="454"/>
      <c r="V2132" s="454"/>
      <c r="W2132" s="454"/>
      <c r="X2132" s="454"/>
      <c r="Y2132" s="454"/>
      <c r="Z2132" s="454"/>
      <c r="AA2132" s="454"/>
      <c r="AB2132" s="454"/>
      <c r="AC2132" s="454"/>
      <c r="AD2132" s="454"/>
      <c r="AE2132" s="454"/>
      <c r="AF2132" s="454"/>
      <c r="AG2132" s="454"/>
      <c r="AH2132" s="454"/>
      <c r="AI2132" s="454"/>
      <c r="AJ2132" s="769"/>
    </row>
    <row r="2133" spans="1:36" ht="14">
      <c r="A2133" s="40"/>
      <c r="B2133" s="40"/>
      <c r="C2133" s="124"/>
      <c r="D2133" s="124">
        <v>8</v>
      </c>
      <c r="E2133" s="124" t="s">
        <v>198</v>
      </c>
      <c r="F2133" s="451"/>
      <c r="G2133" s="537"/>
      <c r="H2133" s="66"/>
      <c r="I2133" s="66" t="s">
        <v>212</v>
      </c>
      <c r="J2133" s="452"/>
      <c r="K2133" s="453">
        <v>1155700</v>
      </c>
      <c r="L2133" s="454"/>
      <c r="M2133" s="454"/>
      <c r="N2133" s="454"/>
      <c r="O2133" s="454">
        <v>200000</v>
      </c>
      <c r="P2133" s="454"/>
      <c r="Q2133" s="454"/>
      <c r="R2133" s="454"/>
      <c r="S2133" s="217">
        <f t="shared" ref="S2133" si="2503">SUM(M2133:R2133)</f>
        <v>200000</v>
      </c>
      <c r="T2133" s="217">
        <f t="shared" ref="T2133" si="2504">S2133+L2133</f>
        <v>200000</v>
      </c>
      <c r="U2133" s="454"/>
      <c r="V2133" s="454"/>
      <c r="W2133" s="454"/>
      <c r="X2133" s="454"/>
      <c r="Y2133" s="454"/>
      <c r="Z2133" s="217">
        <f>SUM(U2133:Y2133)</f>
        <v>0</v>
      </c>
      <c r="AA2133" s="217">
        <f>Z2133+T2133</f>
        <v>200000</v>
      </c>
      <c r="AB2133" s="454"/>
      <c r="AC2133" s="454"/>
      <c r="AD2133" s="454"/>
      <c r="AE2133" s="454"/>
      <c r="AF2133" s="454"/>
      <c r="AG2133" s="217">
        <f t="shared" ref="AG2133" si="2505">SUM(AB2133:AF2133)</f>
        <v>0</v>
      </c>
      <c r="AH2133" s="217">
        <f t="shared" ref="AH2133" si="2506">AG2133+AA2133</f>
        <v>200000</v>
      </c>
      <c r="AI2133" s="217">
        <v>200000</v>
      </c>
      <c r="AJ2133" s="764">
        <f>AI2133/AH2133*100</f>
        <v>100</v>
      </c>
    </row>
    <row r="2134" spans="1:36" ht="6" customHeight="1">
      <c r="A2134" s="40"/>
      <c r="B2134" s="40"/>
      <c r="C2134" s="124"/>
      <c r="D2134" s="124"/>
      <c r="E2134" s="124"/>
      <c r="F2134" s="451"/>
      <c r="G2134" s="41"/>
      <c r="H2134" s="66"/>
      <c r="I2134" s="66"/>
      <c r="J2134" s="452"/>
      <c r="K2134" s="453"/>
      <c r="L2134" s="454"/>
      <c r="M2134" s="454"/>
      <c r="N2134" s="454"/>
      <c r="O2134" s="454"/>
      <c r="P2134" s="454"/>
      <c r="Q2134" s="454"/>
      <c r="R2134" s="454"/>
      <c r="S2134" s="526"/>
      <c r="T2134" s="526"/>
      <c r="U2134" s="454"/>
      <c r="V2134" s="454"/>
      <c r="W2134" s="454"/>
      <c r="X2134" s="454"/>
      <c r="Y2134" s="454"/>
      <c r="Z2134" s="526"/>
      <c r="AA2134" s="526"/>
      <c r="AB2134" s="454"/>
      <c r="AC2134" s="454"/>
      <c r="AD2134" s="454"/>
      <c r="AE2134" s="454"/>
      <c r="AF2134" s="454"/>
      <c r="AG2134" s="526"/>
      <c r="AH2134" s="526"/>
      <c r="AI2134" s="526"/>
      <c r="AJ2134" s="779"/>
    </row>
    <row r="2135" spans="1:36" ht="14">
      <c r="A2135" s="40"/>
      <c r="B2135" s="40"/>
      <c r="C2135" s="124"/>
      <c r="D2135" s="124"/>
      <c r="E2135" s="124"/>
      <c r="F2135" s="42"/>
      <c r="G2135" s="42"/>
      <c r="H2135" s="129"/>
      <c r="I2135" s="42" t="s">
        <v>37</v>
      </c>
      <c r="J2135" s="488"/>
      <c r="K2135" s="489">
        <f>SUM(K2133:K2134)</f>
        <v>1155700</v>
      </c>
      <c r="L2135" s="490">
        <f>SUM(L2133:L2134)</f>
        <v>0</v>
      </c>
      <c r="M2135" s="530">
        <f t="shared" ref="M2135:T2135" si="2507">SUM(M2130:M2134)</f>
        <v>0</v>
      </c>
      <c r="N2135" s="530">
        <f t="shared" si="2507"/>
        <v>0</v>
      </c>
      <c r="O2135" s="530">
        <f t="shared" si="2507"/>
        <v>200000</v>
      </c>
      <c r="P2135" s="530">
        <f t="shared" si="2507"/>
        <v>0</v>
      </c>
      <c r="Q2135" s="530">
        <f t="shared" si="2507"/>
        <v>0</v>
      </c>
      <c r="R2135" s="530">
        <f t="shared" si="2507"/>
        <v>0</v>
      </c>
      <c r="S2135" s="530">
        <f t="shared" si="2507"/>
        <v>200000</v>
      </c>
      <c r="T2135" s="530">
        <f t="shared" si="2507"/>
        <v>200000</v>
      </c>
      <c r="U2135" s="530"/>
      <c r="V2135" s="530"/>
      <c r="W2135" s="530"/>
      <c r="X2135" s="530"/>
      <c r="Y2135" s="530"/>
      <c r="Z2135" s="530">
        <f t="shared" ref="Z2135:AA2135" si="2508">SUM(Z2130:Z2134)</f>
        <v>0</v>
      </c>
      <c r="AA2135" s="530">
        <f t="shared" si="2508"/>
        <v>200000</v>
      </c>
      <c r="AB2135" s="530"/>
      <c r="AC2135" s="530"/>
      <c r="AD2135" s="530"/>
      <c r="AE2135" s="530"/>
      <c r="AF2135" s="530"/>
      <c r="AG2135" s="530">
        <f t="shared" ref="AG2135:AI2135" si="2509">SUM(AG2130:AG2134)</f>
        <v>0</v>
      </c>
      <c r="AH2135" s="530">
        <f t="shared" si="2509"/>
        <v>200000</v>
      </c>
      <c r="AI2135" s="530">
        <f t="shared" si="2509"/>
        <v>200000</v>
      </c>
      <c r="AJ2135" s="776">
        <f>AI2135/AH2135*100</f>
        <v>100</v>
      </c>
    </row>
    <row r="2136" spans="1:36" ht="14" hidden="1">
      <c r="A2136" s="160"/>
      <c r="B2136" s="160"/>
      <c r="C2136" s="161"/>
      <c r="D2136" s="161"/>
      <c r="E2136" s="161"/>
      <c r="F2136" s="41"/>
      <c r="G2136" s="41"/>
      <c r="H2136" s="66"/>
      <c r="I2136" s="41"/>
      <c r="J2136" s="205"/>
      <c r="K2136" s="204"/>
      <c r="L2136" s="205"/>
      <c r="M2136" s="678"/>
      <c r="N2136" s="678"/>
      <c r="O2136" s="678"/>
      <c r="P2136" s="678"/>
      <c r="Q2136" s="678"/>
      <c r="R2136" s="678"/>
      <c r="S2136" s="678"/>
      <c r="T2136" s="678"/>
      <c r="U2136" s="678"/>
      <c r="V2136" s="678"/>
      <c r="W2136" s="678"/>
      <c r="X2136" s="678"/>
      <c r="Y2136" s="678"/>
      <c r="Z2136" s="678"/>
      <c r="AA2136" s="678"/>
      <c r="AB2136" s="702"/>
      <c r="AC2136" s="702"/>
      <c r="AD2136" s="702"/>
      <c r="AE2136" s="702"/>
      <c r="AF2136" s="702"/>
      <c r="AG2136" s="702"/>
      <c r="AH2136" s="702"/>
      <c r="AI2136" s="702"/>
      <c r="AJ2136" s="780"/>
    </row>
    <row r="2137" spans="1:36" ht="8" customHeight="1">
      <c r="A2137" s="40"/>
      <c r="B2137" s="40"/>
      <c r="C2137" s="124"/>
      <c r="D2137" s="124"/>
      <c r="E2137" s="124"/>
      <c r="F2137" s="41"/>
      <c r="G2137" s="41"/>
      <c r="H2137" s="66"/>
      <c r="I2137" s="41"/>
      <c r="J2137" s="126"/>
      <c r="K2137" s="204"/>
      <c r="L2137" s="205"/>
      <c r="M2137" s="205"/>
      <c r="N2137" s="205"/>
      <c r="O2137" s="205"/>
      <c r="P2137" s="205"/>
      <c r="Q2137" s="205"/>
      <c r="R2137" s="205"/>
      <c r="S2137" s="678"/>
      <c r="T2137" s="678"/>
      <c r="U2137" s="205"/>
      <c r="V2137" s="205"/>
      <c r="W2137" s="205"/>
      <c r="X2137" s="205"/>
      <c r="Y2137" s="205"/>
      <c r="Z2137" s="678"/>
      <c r="AA2137" s="678"/>
      <c r="AB2137" s="205"/>
      <c r="AC2137" s="205"/>
      <c r="AD2137" s="205"/>
      <c r="AE2137" s="205"/>
      <c r="AF2137" s="205"/>
      <c r="AG2137" s="702"/>
      <c r="AH2137" s="702"/>
      <c r="AI2137" s="702"/>
      <c r="AJ2137" s="780"/>
    </row>
    <row r="2138" spans="1:36" ht="14">
      <c r="A2138" s="40">
        <v>12</v>
      </c>
      <c r="B2138" s="40"/>
      <c r="C2138" s="124"/>
      <c r="D2138" s="124"/>
      <c r="E2138" s="124"/>
      <c r="F2138" s="942" t="s">
        <v>585</v>
      </c>
      <c r="G2138" s="935"/>
      <c r="H2138" s="935"/>
      <c r="I2138" s="936"/>
      <c r="J2138" s="452"/>
      <c r="K2138" s="453"/>
      <c r="L2138" s="454"/>
      <c r="M2138" s="454"/>
      <c r="N2138" s="454"/>
      <c r="O2138" s="454"/>
      <c r="P2138" s="454"/>
      <c r="Q2138" s="454"/>
      <c r="R2138" s="454"/>
      <c r="S2138" s="454"/>
      <c r="T2138" s="454"/>
      <c r="U2138" s="454"/>
      <c r="V2138" s="454"/>
      <c r="W2138" s="454"/>
      <c r="X2138" s="454"/>
      <c r="Y2138" s="454"/>
      <c r="Z2138" s="454"/>
      <c r="AA2138" s="454"/>
      <c r="AB2138" s="454"/>
      <c r="AC2138" s="454"/>
      <c r="AD2138" s="454"/>
      <c r="AE2138" s="454"/>
      <c r="AF2138" s="454"/>
      <c r="AG2138" s="454"/>
      <c r="AH2138" s="454"/>
      <c r="AI2138" s="454"/>
      <c r="AJ2138" s="769"/>
    </row>
    <row r="2139" spans="1:36" ht="14">
      <c r="A2139" s="40"/>
      <c r="B2139" s="40"/>
      <c r="C2139" s="124">
        <v>2</v>
      </c>
      <c r="D2139" s="124"/>
      <c r="E2139" s="124"/>
      <c r="F2139" s="451"/>
      <c r="G2139" s="41"/>
      <c r="H2139" s="162" t="s">
        <v>211</v>
      </c>
      <c r="I2139" s="66"/>
      <c r="J2139" s="452"/>
      <c r="K2139" s="453"/>
      <c r="L2139" s="454"/>
      <c r="M2139" s="454"/>
      <c r="N2139" s="454"/>
      <c r="O2139" s="454"/>
      <c r="P2139" s="454"/>
      <c r="Q2139" s="454"/>
      <c r="R2139" s="454"/>
      <c r="S2139" s="454"/>
      <c r="T2139" s="454"/>
      <c r="U2139" s="454"/>
      <c r="V2139" s="454"/>
      <c r="W2139" s="454"/>
      <c r="X2139" s="454"/>
      <c r="Y2139" s="454"/>
      <c r="Z2139" s="454"/>
      <c r="AA2139" s="454"/>
      <c r="AB2139" s="454"/>
      <c r="AC2139" s="454"/>
      <c r="AD2139" s="454"/>
      <c r="AE2139" s="454"/>
      <c r="AF2139" s="454"/>
      <c r="AG2139" s="454"/>
      <c r="AH2139" s="454"/>
      <c r="AI2139" s="454"/>
      <c r="AJ2139" s="769"/>
    </row>
    <row r="2140" spans="1:36" ht="14">
      <c r="A2140" s="40"/>
      <c r="B2140" s="40"/>
      <c r="C2140" s="124"/>
      <c r="D2140" s="124">
        <v>8</v>
      </c>
      <c r="E2140" s="124" t="s">
        <v>198</v>
      </c>
      <c r="F2140" s="451"/>
      <c r="G2140" s="537"/>
      <c r="H2140" s="66"/>
      <c r="I2140" s="66" t="s">
        <v>212</v>
      </c>
      <c r="J2140" s="452"/>
      <c r="K2140" s="453">
        <v>1155700</v>
      </c>
      <c r="L2140" s="454"/>
      <c r="M2140" s="454">
        <v>5000000</v>
      </c>
      <c r="N2140" s="454"/>
      <c r="O2140" s="454"/>
      <c r="P2140" s="454"/>
      <c r="Q2140" s="454"/>
      <c r="R2140" s="454"/>
      <c r="S2140" s="217">
        <f t="shared" ref="S2140" si="2510">SUM(M2140:R2140)</f>
        <v>5000000</v>
      </c>
      <c r="T2140" s="217">
        <f t="shared" ref="T2140" si="2511">S2140+L2140</f>
        <v>5000000</v>
      </c>
      <c r="U2140" s="454"/>
      <c r="V2140" s="454"/>
      <c r="W2140" s="454"/>
      <c r="X2140" s="454"/>
      <c r="Y2140" s="454"/>
      <c r="Z2140" s="217">
        <f>SUM(U2140:Y2140)</f>
        <v>0</v>
      </c>
      <c r="AA2140" s="217">
        <f>Z2140+T2140</f>
        <v>5000000</v>
      </c>
      <c r="AB2140" s="454"/>
      <c r="AC2140" s="454"/>
      <c r="AD2140" s="454"/>
      <c r="AE2140" s="454"/>
      <c r="AF2140" s="454"/>
      <c r="AG2140" s="217">
        <f t="shared" ref="AG2140" si="2512">SUM(AB2140:AF2140)</f>
        <v>0</v>
      </c>
      <c r="AH2140" s="217">
        <f t="shared" ref="AH2140" si="2513">AG2140+AA2140</f>
        <v>5000000</v>
      </c>
      <c r="AI2140" s="217"/>
      <c r="AJ2140" s="764"/>
    </row>
    <row r="2141" spans="1:36" ht="14">
      <c r="A2141" s="40"/>
      <c r="B2141" s="40"/>
      <c r="C2141" s="124"/>
      <c r="D2141" s="124"/>
      <c r="E2141" s="124"/>
      <c r="F2141" s="451"/>
      <c r="G2141" s="41"/>
      <c r="H2141" s="66"/>
      <c r="I2141" s="66"/>
      <c r="J2141" s="452"/>
      <c r="K2141" s="453"/>
      <c r="L2141" s="454"/>
      <c r="M2141" s="454"/>
      <c r="N2141" s="454"/>
      <c r="O2141" s="454"/>
      <c r="P2141" s="454"/>
      <c r="Q2141" s="454"/>
      <c r="R2141" s="454"/>
      <c r="S2141" s="526"/>
      <c r="T2141" s="526"/>
      <c r="U2141" s="454"/>
      <c r="V2141" s="454"/>
      <c r="W2141" s="454"/>
      <c r="X2141" s="454"/>
      <c r="Y2141" s="454"/>
      <c r="Z2141" s="526"/>
      <c r="AA2141" s="526"/>
      <c r="AB2141" s="454"/>
      <c r="AC2141" s="454"/>
      <c r="AD2141" s="454"/>
      <c r="AE2141" s="454"/>
      <c r="AF2141" s="454"/>
      <c r="AG2141" s="526"/>
      <c r="AH2141" s="526"/>
      <c r="AI2141" s="526"/>
      <c r="AJ2141" s="779"/>
    </row>
    <row r="2142" spans="1:36" ht="14">
      <c r="A2142" s="40"/>
      <c r="B2142" s="40"/>
      <c r="C2142" s="124"/>
      <c r="D2142" s="124"/>
      <c r="E2142" s="124"/>
      <c r="F2142" s="42"/>
      <c r="G2142" s="42"/>
      <c r="H2142" s="129"/>
      <c r="I2142" s="42" t="s">
        <v>37</v>
      </c>
      <c r="J2142" s="488"/>
      <c r="K2142" s="489">
        <f>SUM(K2140:K2141)</f>
        <v>1155700</v>
      </c>
      <c r="L2142" s="490">
        <f>SUM(L2140:L2141)</f>
        <v>0</v>
      </c>
      <c r="M2142" s="530">
        <f t="shared" ref="M2142:T2142" si="2514">SUM(M2137:M2141)</f>
        <v>5000000</v>
      </c>
      <c r="N2142" s="530">
        <f t="shared" si="2514"/>
        <v>0</v>
      </c>
      <c r="O2142" s="530">
        <f t="shared" si="2514"/>
        <v>0</v>
      </c>
      <c r="P2142" s="530">
        <f t="shared" si="2514"/>
        <v>0</v>
      </c>
      <c r="Q2142" s="530">
        <f t="shared" si="2514"/>
        <v>0</v>
      </c>
      <c r="R2142" s="530">
        <f t="shared" si="2514"/>
        <v>0</v>
      </c>
      <c r="S2142" s="530">
        <f t="shared" si="2514"/>
        <v>5000000</v>
      </c>
      <c r="T2142" s="530">
        <f t="shared" si="2514"/>
        <v>5000000</v>
      </c>
      <c r="U2142" s="530"/>
      <c r="V2142" s="530"/>
      <c r="W2142" s="530"/>
      <c r="X2142" s="530"/>
      <c r="Y2142" s="530"/>
      <c r="Z2142" s="530">
        <f t="shared" ref="Z2142:AA2142" si="2515">SUM(Z2137:Z2141)</f>
        <v>0</v>
      </c>
      <c r="AA2142" s="530">
        <f t="shared" si="2515"/>
        <v>5000000</v>
      </c>
      <c r="AB2142" s="530"/>
      <c r="AC2142" s="530"/>
      <c r="AD2142" s="530"/>
      <c r="AE2142" s="530"/>
      <c r="AF2142" s="530"/>
      <c r="AG2142" s="530">
        <f t="shared" ref="AG2142:AH2142" si="2516">SUM(AG2137:AG2141)</f>
        <v>0</v>
      </c>
      <c r="AH2142" s="530">
        <f t="shared" si="2516"/>
        <v>5000000</v>
      </c>
      <c r="AI2142" s="530"/>
      <c r="AJ2142" s="776"/>
    </row>
    <row r="2143" spans="1:36" ht="14">
      <c r="A2143" s="40"/>
      <c r="B2143" s="40"/>
      <c r="C2143" s="124"/>
      <c r="D2143" s="124"/>
      <c r="E2143" s="124"/>
      <c r="F2143" s="41"/>
      <c r="G2143" s="41"/>
      <c r="H2143" s="66"/>
      <c r="I2143" s="41"/>
      <c r="J2143" s="126"/>
      <c r="K2143" s="204"/>
      <c r="L2143" s="205"/>
      <c r="M2143" s="205"/>
      <c r="N2143" s="205"/>
      <c r="O2143" s="205"/>
      <c r="P2143" s="205"/>
      <c r="Q2143" s="205"/>
      <c r="R2143" s="205"/>
      <c r="S2143" s="678"/>
      <c r="T2143" s="678"/>
      <c r="U2143" s="205"/>
      <c r="V2143" s="205"/>
      <c r="W2143" s="205"/>
      <c r="X2143" s="205"/>
      <c r="Y2143" s="205"/>
      <c r="Z2143" s="678"/>
      <c r="AA2143" s="678"/>
      <c r="AB2143" s="205"/>
      <c r="AC2143" s="205"/>
      <c r="AD2143" s="205"/>
      <c r="AE2143" s="205"/>
      <c r="AF2143" s="205"/>
      <c r="AG2143" s="702"/>
      <c r="AH2143" s="702"/>
      <c r="AI2143" s="702"/>
      <c r="AJ2143" s="780"/>
    </row>
    <row r="2144" spans="1:36" ht="32" customHeight="1">
      <c r="A2144" s="40">
        <v>13</v>
      </c>
      <c r="B2144" s="40"/>
      <c r="C2144" s="124"/>
      <c r="D2144" s="124"/>
      <c r="E2144" s="124"/>
      <c r="F2144" s="942" t="s">
        <v>659</v>
      </c>
      <c r="G2144" s="935"/>
      <c r="H2144" s="935"/>
      <c r="I2144" s="936"/>
      <c r="J2144" s="452"/>
      <c r="K2144" s="453"/>
      <c r="L2144" s="454"/>
      <c r="M2144" s="454"/>
      <c r="N2144" s="454"/>
      <c r="O2144" s="454"/>
      <c r="P2144" s="454"/>
      <c r="Q2144" s="454"/>
      <c r="R2144" s="454"/>
      <c r="S2144" s="454"/>
      <c r="T2144" s="454"/>
      <c r="U2144" s="454"/>
      <c r="V2144" s="454"/>
      <c r="W2144" s="454"/>
      <c r="X2144" s="454"/>
      <c r="Y2144" s="454"/>
      <c r="Z2144" s="454"/>
      <c r="AA2144" s="454"/>
      <c r="AB2144" s="454"/>
      <c r="AC2144" s="454"/>
      <c r="AD2144" s="454"/>
      <c r="AE2144" s="454"/>
      <c r="AF2144" s="454"/>
      <c r="AG2144" s="454"/>
      <c r="AH2144" s="454"/>
      <c r="AI2144" s="454"/>
      <c r="AJ2144" s="769"/>
    </row>
    <row r="2145" spans="1:36" ht="14">
      <c r="A2145" s="40"/>
      <c r="B2145" s="40"/>
      <c r="C2145" s="124">
        <v>2</v>
      </c>
      <c r="D2145" s="124"/>
      <c r="E2145" s="124"/>
      <c r="F2145" s="451"/>
      <c r="G2145" s="41"/>
      <c r="H2145" s="162" t="s">
        <v>211</v>
      </c>
      <c r="I2145" s="66"/>
      <c r="J2145" s="452"/>
      <c r="K2145" s="453"/>
      <c r="L2145" s="454"/>
      <c r="M2145" s="454"/>
      <c r="N2145" s="454"/>
      <c r="O2145" s="454"/>
      <c r="P2145" s="454"/>
      <c r="Q2145" s="454"/>
      <c r="R2145" s="454"/>
      <c r="S2145" s="454"/>
      <c r="T2145" s="454"/>
      <c r="U2145" s="454"/>
      <c r="V2145" s="454"/>
      <c r="W2145" s="454"/>
      <c r="X2145" s="454"/>
      <c r="Y2145" s="454"/>
      <c r="Z2145" s="454"/>
      <c r="AA2145" s="454"/>
      <c r="AB2145" s="454"/>
      <c r="AC2145" s="454"/>
      <c r="AD2145" s="454"/>
      <c r="AE2145" s="454"/>
      <c r="AF2145" s="454"/>
      <c r="AG2145" s="454"/>
      <c r="AH2145" s="454"/>
      <c r="AI2145" s="454"/>
      <c r="AJ2145" s="769"/>
    </row>
    <row r="2146" spans="1:36" ht="14">
      <c r="A2146" s="40"/>
      <c r="B2146" s="40"/>
      <c r="C2146" s="124"/>
      <c r="D2146" s="124">
        <v>8</v>
      </c>
      <c r="E2146" s="124" t="s">
        <v>198</v>
      </c>
      <c r="F2146" s="451"/>
      <c r="G2146" s="537"/>
      <c r="H2146" s="66"/>
      <c r="I2146" s="66" t="s">
        <v>212</v>
      </c>
      <c r="J2146" s="452"/>
      <c r="K2146" s="453">
        <v>1155700</v>
      </c>
      <c r="L2146" s="454"/>
      <c r="M2146" s="454">
        <v>5000000</v>
      </c>
      <c r="N2146" s="454"/>
      <c r="O2146" s="454"/>
      <c r="P2146" s="454"/>
      <c r="Q2146" s="454"/>
      <c r="R2146" s="454"/>
      <c r="S2146" s="217">
        <f t="shared" ref="S2146" si="2517">SUM(M2146:R2146)</f>
        <v>5000000</v>
      </c>
      <c r="T2146" s="217"/>
      <c r="U2146" s="454"/>
      <c r="V2146" s="454"/>
      <c r="W2146" s="454"/>
      <c r="X2146" s="454">
        <v>600000</v>
      </c>
      <c r="Y2146" s="454"/>
      <c r="Z2146" s="217">
        <f>SUM(U2146:Y2146)</f>
        <v>600000</v>
      </c>
      <c r="AA2146" s="217">
        <f>Z2146+T2146</f>
        <v>600000</v>
      </c>
      <c r="AB2146" s="454"/>
      <c r="AC2146" s="454"/>
      <c r="AD2146" s="454"/>
      <c r="AE2146" s="454"/>
      <c r="AF2146" s="454"/>
      <c r="AG2146" s="217">
        <f t="shared" ref="AG2146" si="2518">SUM(AB2146:AF2146)</f>
        <v>0</v>
      </c>
      <c r="AH2146" s="217">
        <f t="shared" ref="AH2146" si="2519">AG2146+AA2146</f>
        <v>600000</v>
      </c>
      <c r="AI2146" s="217">
        <v>600000</v>
      </c>
      <c r="AJ2146" s="764">
        <f>AI2146/AH2146*100</f>
        <v>100</v>
      </c>
    </row>
    <row r="2147" spans="1:36" ht="14">
      <c r="A2147" s="40"/>
      <c r="B2147" s="40"/>
      <c r="C2147" s="124"/>
      <c r="D2147" s="124"/>
      <c r="E2147" s="124"/>
      <c r="F2147" s="451"/>
      <c r="G2147" s="41"/>
      <c r="H2147" s="66"/>
      <c r="I2147" s="66"/>
      <c r="J2147" s="452"/>
      <c r="K2147" s="453"/>
      <c r="L2147" s="454"/>
      <c r="M2147" s="454"/>
      <c r="N2147" s="454"/>
      <c r="O2147" s="454"/>
      <c r="P2147" s="454"/>
      <c r="Q2147" s="454"/>
      <c r="R2147" s="454"/>
      <c r="S2147" s="526"/>
      <c r="T2147" s="526"/>
      <c r="U2147" s="454"/>
      <c r="V2147" s="454"/>
      <c r="W2147" s="454"/>
      <c r="X2147" s="454"/>
      <c r="Y2147" s="454"/>
      <c r="Z2147" s="526"/>
      <c r="AA2147" s="526"/>
      <c r="AB2147" s="454"/>
      <c r="AC2147" s="454"/>
      <c r="AD2147" s="454"/>
      <c r="AE2147" s="454"/>
      <c r="AF2147" s="454"/>
      <c r="AG2147" s="526"/>
      <c r="AH2147" s="526"/>
      <c r="AI2147" s="526"/>
      <c r="AJ2147" s="779"/>
    </row>
    <row r="2148" spans="1:36" ht="14">
      <c r="A2148" s="40"/>
      <c r="B2148" s="40"/>
      <c r="C2148" s="124"/>
      <c r="D2148" s="124"/>
      <c r="E2148" s="124"/>
      <c r="F2148" s="42"/>
      <c r="G2148" s="42"/>
      <c r="H2148" s="129"/>
      <c r="I2148" s="42" t="s">
        <v>37</v>
      </c>
      <c r="J2148" s="488"/>
      <c r="K2148" s="489">
        <f>SUM(K2146:K2147)</f>
        <v>1155700</v>
      </c>
      <c r="L2148" s="490">
        <f>SUM(L2146:L2147)</f>
        <v>0</v>
      </c>
      <c r="M2148" s="530">
        <f t="shared" ref="M2148:T2148" si="2520">SUM(M2143:M2147)</f>
        <v>5000000</v>
      </c>
      <c r="N2148" s="530">
        <f t="shared" si="2520"/>
        <v>0</v>
      </c>
      <c r="O2148" s="530">
        <f t="shared" si="2520"/>
        <v>0</v>
      </c>
      <c r="P2148" s="530">
        <f t="shared" si="2520"/>
        <v>0</v>
      </c>
      <c r="Q2148" s="530">
        <f t="shared" si="2520"/>
        <v>0</v>
      </c>
      <c r="R2148" s="530">
        <f t="shared" si="2520"/>
        <v>0</v>
      </c>
      <c r="S2148" s="530">
        <f t="shared" si="2520"/>
        <v>5000000</v>
      </c>
      <c r="T2148" s="530">
        <f t="shared" si="2520"/>
        <v>0</v>
      </c>
      <c r="U2148" s="530"/>
      <c r="V2148" s="530"/>
      <c r="W2148" s="530"/>
      <c r="X2148" s="530">
        <f t="shared" ref="X2148:AA2148" si="2521">SUM(X2143:X2147)</f>
        <v>600000</v>
      </c>
      <c r="Y2148" s="530"/>
      <c r="Z2148" s="530">
        <f t="shared" si="2521"/>
        <v>600000</v>
      </c>
      <c r="AA2148" s="530">
        <f t="shared" si="2521"/>
        <v>600000</v>
      </c>
      <c r="AB2148" s="530"/>
      <c r="AC2148" s="530"/>
      <c r="AD2148" s="530"/>
      <c r="AE2148" s="530">
        <f t="shared" ref="AE2148" si="2522">SUM(AE2143:AE2147)</f>
        <v>0</v>
      </c>
      <c r="AF2148" s="530"/>
      <c r="AG2148" s="530">
        <f t="shared" ref="AG2148:AH2148" si="2523">SUM(AG2143:AG2147)</f>
        <v>0</v>
      </c>
      <c r="AH2148" s="530">
        <f t="shared" si="2523"/>
        <v>600000</v>
      </c>
      <c r="AI2148" s="530">
        <f t="shared" ref="AI2148" si="2524">SUM(AI2143:AI2147)</f>
        <v>600000</v>
      </c>
      <c r="AJ2148" s="776">
        <f>AI2148/AH2148*100</f>
        <v>100</v>
      </c>
    </row>
    <row r="2149" spans="1:36" ht="14">
      <c r="A2149" s="160"/>
      <c r="B2149" s="160"/>
      <c r="C2149" s="161"/>
      <c r="D2149" s="161"/>
      <c r="E2149" s="161"/>
      <c r="F2149" s="41"/>
      <c r="G2149" s="41"/>
      <c r="H2149" s="66"/>
      <c r="I2149" s="41"/>
      <c r="J2149" s="205"/>
      <c r="K2149" s="467"/>
      <c r="L2149" s="205"/>
      <c r="M2149" s="760"/>
      <c r="N2149" s="760"/>
      <c r="O2149" s="760"/>
      <c r="P2149" s="760"/>
      <c r="Q2149" s="760"/>
      <c r="R2149" s="760"/>
      <c r="S2149" s="760"/>
      <c r="T2149" s="760"/>
      <c r="U2149" s="760"/>
      <c r="V2149" s="760"/>
      <c r="W2149" s="760"/>
      <c r="X2149" s="760"/>
      <c r="Y2149" s="760"/>
      <c r="Z2149" s="760"/>
      <c r="AA2149" s="760"/>
      <c r="AB2149" s="760"/>
      <c r="AC2149" s="760"/>
      <c r="AD2149" s="760"/>
      <c r="AE2149" s="760"/>
      <c r="AF2149" s="760"/>
      <c r="AG2149" s="760"/>
      <c r="AH2149" s="760"/>
      <c r="AI2149" s="760"/>
      <c r="AJ2149" s="777"/>
    </row>
    <row r="2150" spans="1:36" ht="14">
      <c r="A2150" s="40">
        <v>14</v>
      </c>
      <c r="B2150" s="40"/>
      <c r="C2150" s="124"/>
      <c r="D2150" s="124"/>
      <c r="E2150" s="124"/>
      <c r="F2150" s="942" t="s">
        <v>715</v>
      </c>
      <c r="G2150" s="935"/>
      <c r="H2150" s="935"/>
      <c r="I2150" s="936"/>
      <c r="J2150" s="452"/>
      <c r="K2150" s="453"/>
      <c r="L2150" s="454"/>
      <c r="M2150" s="454"/>
      <c r="N2150" s="454"/>
      <c r="O2150" s="454"/>
      <c r="P2150" s="454"/>
      <c r="Q2150" s="454"/>
      <c r="R2150" s="454"/>
      <c r="S2150" s="454"/>
      <c r="T2150" s="454"/>
      <c r="U2150" s="454"/>
      <c r="V2150" s="454"/>
      <c r="W2150" s="454"/>
      <c r="X2150" s="454"/>
      <c r="Y2150" s="454"/>
      <c r="Z2150" s="454"/>
      <c r="AA2150" s="454"/>
      <c r="AB2150" s="454"/>
      <c r="AC2150" s="454"/>
      <c r="AD2150" s="454"/>
      <c r="AE2150" s="454"/>
      <c r="AF2150" s="454"/>
      <c r="AG2150" s="454"/>
      <c r="AH2150" s="454"/>
      <c r="AI2150" s="454"/>
      <c r="AJ2150" s="769"/>
    </row>
    <row r="2151" spans="1:36" ht="14">
      <c r="A2151" s="40"/>
      <c r="B2151" s="40"/>
      <c r="C2151" s="124">
        <v>2</v>
      </c>
      <c r="D2151" s="124"/>
      <c r="E2151" s="124"/>
      <c r="F2151" s="451"/>
      <c r="G2151" s="41"/>
      <c r="H2151" s="162" t="s">
        <v>211</v>
      </c>
      <c r="I2151" s="66"/>
      <c r="J2151" s="452"/>
      <c r="K2151" s="453"/>
      <c r="L2151" s="454"/>
      <c r="M2151" s="454"/>
      <c r="N2151" s="454"/>
      <c r="O2151" s="454"/>
      <c r="P2151" s="454"/>
      <c r="Q2151" s="454"/>
      <c r="R2151" s="454"/>
      <c r="S2151" s="454"/>
      <c r="T2151" s="454"/>
      <c r="U2151" s="454"/>
      <c r="V2151" s="454"/>
      <c r="W2151" s="454"/>
      <c r="X2151" s="454"/>
      <c r="Y2151" s="454"/>
      <c r="Z2151" s="454"/>
      <c r="AA2151" s="454"/>
      <c r="AB2151" s="454"/>
      <c r="AC2151" s="454"/>
      <c r="AD2151" s="454"/>
      <c r="AE2151" s="454"/>
      <c r="AF2151" s="454"/>
      <c r="AG2151" s="454"/>
      <c r="AH2151" s="454"/>
      <c r="AI2151" s="454"/>
      <c r="AJ2151" s="769"/>
    </row>
    <row r="2152" spans="1:36" ht="14">
      <c r="A2152" s="40"/>
      <c r="B2152" s="40"/>
      <c r="C2152" s="124"/>
      <c r="D2152" s="124">
        <v>8</v>
      </c>
      <c r="E2152" s="124" t="s">
        <v>199</v>
      </c>
      <c r="F2152" s="451"/>
      <c r="G2152" s="537"/>
      <c r="H2152" s="66"/>
      <c r="I2152" s="66" t="s">
        <v>212</v>
      </c>
      <c r="J2152" s="452"/>
      <c r="K2152" s="453">
        <v>1155700</v>
      </c>
      <c r="L2152" s="454"/>
      <c r="M2152" s="454">
        <v>5000000</v>
      </c>
      <c r="N2152" s="454"/>
      <c r="O2152" s="454"/>
      <c r="P2152" s="454"/>
      <c r="Q2152" s="454"/>
      <c r="R2152" s="454"/>
      <c r="S2152" s="217">
        <f t="shared" ref="S2152" si="2525">SUM(M2152:R2152)</f>
        <v>5000000</v>
      </c>
      <c r="T2152" s="217"/>
      <c r="U2152" s="454"/>
      <c r="V2152" s="454"/>
      <c r="W2152" s="454"/>
      <c r="X2152" s="454">
        <v>600000</v>
      </c>
      <c r="Y2152" s="454"/>
      <c r="Z2152" s="217">
        <f>SUM(U2152:Y2152)</f>
        <v>600000</v>
      </c>
      <c r="AA2152" s="217"/>
      <c r="AB2152" s="454"/>
      <c r="AC2152" s="454">
        <v>18524000</v>
      </c>
      <c r="AD2152" s="454"/>
      <c r="AE2152" s="454"/>
      <c r="AF2152" s="454"/>
      <c r="AG2152" s="217">
        <f t="shared" ref="AG2152" si="2526">SUM(AB2152:AF2152)</f>
        <v>18524000</v>
      </c>
      <c r="AH2152" s="217">
        <f t="shared" ref="AH2152" si="2527">AG2152+AA2152</f>
        <v>18524000</v>
      </c>
      <c r="AI2152" s="217">
        <v>18524000</v>
      </c>
      <c r="AJ2152" s="764">
        <f>AI2152/AH2152*100</f>
        <v>100</v>
      </c>
    </row>
    <row r="2153" spans="1:36" ht="14">
      <c r="A2153" s="40"/>
      <c r="B2153" s="40"/>
      <c r="C2153" s="124"/>
      <c r="D2153" s="124"/>
      <c r="E2153" s="124"/>
      <c r="F2153" s="451"/>
      <c r="G2153" s="41"/>
      <c r="H2153" s="66"/>
      <c r="I2153" s="66"/>
      <c r="J2153" s="452"/>
      <c r="K2153" s="453"/>
      <c r="L2153" s="454"/>
      <c r="M2153" s="454"/>
      <c r="N2153" s="454"/>
      <c r="O2153" s="454"/>
      <c r="P2153" s="454"/>
      <c r="Q2153" s="454"/>
      <c r="R2153" s="454"/>
      <c r="S2153" s="526"/>
      <c r="T2153" s="526"/>
      <c r="U2153" s="454"/>
      <c r="V2153" s="454"/>
      <c r="W2153" s="454"/>
      <c r="X2153" s="454"/>
      <c r="Y2153" s="454"/>
      <c r="Z2153" s="526"/>
      <c r="AA2153" s="526"/>
      <c r="AB2153" s="454"/>
      <c r="AC2153" s="454"/>
      <c r="AD2153" s="454"/>
      <c r="AE2153" s="454"/>
      <c r="AF2153" s="454"/>
      <c r="AG2153" s="526"/>
      <c r="AH2153" s="526"/>
      <c r="AI2153" s="526"/>
      <c r="AJ2153" s="779"/>
    </row>
    <row r="2154" spans="1:36" ht="14">
      <c r="A2154" s="40"/>
      <c r="B2154" s="40"/>
      <c r="C2154" s="124"/>
      <c r="D2154" s="124"/>
      <c r="E2154" s="124"/>
      <c r="F2154" s="42"/>
      <c r="G2154" s="42"/>
      <c r="H2154" s="129"/>
      <c r="I2154" s="42" t="s">
        <v>37</v>
      </c>
      <c r="J2154" s="488"/>
      <c r="K2154" s="489">
        <f>SUM(K2152:K2153)</f>
        <v>1155700</v>
      </c>
      <c r="L2154" s="490">
        <f>SUM(L2152:L2153)</f>
        <v>0</v>
      </c>
      <c r="M2154" s="530">
        <f t="shared" ref="M2154:T2154" si="2528">SUM(M2150:M2153)</f>
        <v>5000000</v>
      </c>
      <c r="N2154" s="530">
        <f t="shared" si="2528"/>
        <v>0</v>
      </c>
      <c r="O2154" s="530">
        <f t="shared" si="2528"/>
        <v>0</v>
      </c>
      <c r="P2154" s="530">
        <f t="shared" si="2528"/>
        <v>0</v>
      </c>
      <c r="Q2154" s="530">
        <f t="shared" si="2528"/>
        <v>0</v>
      </c>
      <c r="R2154" s="530">
        <f t="shared" si="2528"/>
        <v>0</v>
      </c>
      <c r="S2154" s="530">
        <f t="shared" si="2528"/>
        <v>5000000</v>
      </c>
      <c r="T2154" s="530">
        <f t="shared" si="2528"/>
        <v>0</v>
      </c>
      <c r="U2154" s="530"/>
      <c r="V2154" s="530"/>
      <c r="W2154" s="530"/>
      <c r="X2154" s="530">
        <f>SUM(X2150:X2153)</f>
        <v>600000</v>
      </c>
      <c r="Y2154" s="530"/>
      <c r="Z2154" s="530">
        <f>SUM(Z2150:Z2153)</f>
        <v>600000</v>
      </c>
      <c r="AA2154" s="530">
        <f>SUM(AA2150:AA2153)</f>
        <v>0</v>
      </c>
      <c r="AB2154" s="530"/>
      <c r="AC2154" s="530">
        <f>SUM(AC2150:AC2153)</f>
        <v>18524000</v>
      </c>
      <c r="AD2154" s="530"/>
      <c r="AE2154" s="530">
        <f>SUM(AE2150:AE2153)</f>
        <v>0</v>
      </c>
      <c r="AF2154" s="530"/>
      <c r="AG2154" s="530">
        <f>SUM(AG2150:AG2153)</f>
        <v>18524000</v>
      </c>
      <c r="AH2154" s="530">
        <f>SUM(AH2150:AH2153)</f>
        <v>18524000</v>
      </c>
      <c r="AI2154" s="530">
        <f>SUM(AI2150:AI2153)</f>
        <v>18524000</v>
      </c>
      <c r="AJ2154" s="776">
        <f>AI2154/AH2154*100</f>
        <v>100</v>
      </c>
    </row>
    <row r="2155" spans="1:36" ht="14">
      <c r="A2155" s="160"/>
      <c r="B2155" s="160"/>
      <c r="C2155" s="161"/>
      <c r="D2155" s="161"/>
      <c r="E2155" s="161"/>
      <c r="F2155" s="41"/>
      <c r="G2155" s="41"/>
      <c r="H2155" s="66"/>
      <c r="I2155" s="41"/>
      <c r="J2155" s="205"/>
      <c r="K2155" s="467"/>
      <c r="L2155" s="205"/>
      <c r="M2155" s="760"/>
      <c r="N2155" s="760"/>
      <c r="O2155" s="760"/>
      <c r="P2155" s="760"/>
      <c r="Q2155" s="760"/>
      <c r="R2155" s="760"/>
      <c r="S2155" s="760"/>
      <c r="T2155" s="760"/>
      <c r="U2155" s="760"/>
      <c r="V2155" s="760"/>
      <c r="W2155" s="760"/>
      <c r="X2155" s="760"/>
      <c r="Y2155" s="760"/>
      <c r="Z2155" s="760"/>
      <c r="AA2155" s="760"/>
      <c r="AB2155" s="760"/>
      <c r="AC2155" s="760"/>
      <c r="AD2155" s="760"/>
      <c r="AE2155" s="760"/>
      <c r="AF2155" s="760"/>
      <c r="AG2155" s="760"/>
      <c r="AH2155" s="760"/>
      <c r="AI2155" s="760"/>
      <c r="AJ2155" s="777"/>
    </row>
    <row r="2156" spans="1:36" ht="14">
      <c r="A2156" s="40">
        <v>15</v>
      </c>
      <c r="B2156" s="40"/>
      <c r="C2156" s="124"/>
      <c r="D2156" s="124"/>
      <c r="E2156" s="124"/>
      <c r="F2156" s="942" t="s">
        <v>716</v>
      </c>
      <c r="G2156" s="935"/>
      <c r="H2156" s="935"/>
      <c r="I2156" s="936"/>
      <c r="J2156" s="452"/>
      <c r="K2156" s="453"/>
      <c r="L2156" s="454"/>
      <c r="M2156" s="454"/>
      <c r="N2156" s="454"/>
      <c r="O2156" s="454"/>
      <c r="P2156" s="454"/>
      <c r="Q2156" s="454"/>
      <c r="R2156" s="454"/>
      <c r="S2156" s="454"/>
      <c r="T2156" s="454"/>
      <c r="U2156" s="454"/>
      <c r="V2156" s="454"/>
      <c r="W2156" s="454"/>
      <c r="X2156" s="454"/>
      <c r="Y2156" s="454"/>
      <c r="Z2156" s="454"/>
      <c r="AA2156" s="454"/>
      <c r="AB2156" s="454"/>
      <c r="AC2156" s="454"/>
      <c r="AD2156" s="454"/>
      <c r="AE2156" s="454"/>
      <c r="AF2156" s="454"/>
      <c r="AG2156" s="454"/>
      <c r="AH2156" s="454"/>
      <c r="AI2156" s="454"/>
      <c r="AJ2156" s="769"/>
    </row>
    <row r="2157" spans="1:36" ht="14">
      <c r="A2157" s="40"/>
      <c r="B2157" s="40"/>
      <c r="C2157" s="124">
        <v>2</v>
      </c>
      <c r="D2157" s="124"/>
      <c r="E2157" s="124"/>
      <c r="F2157" s="451"/>
      <c r="G2157" s="41"/>
      <c r="H2157" s="162" t="s">
        <v>211</v>
      </c>
      <c r="I2157" s="66"/>
      <c r="J2157" s="452"/>
      <c r="K2157" s="453"/>
      <c r="L2157" s="454"/>
      <c r="M2157" s="454"/>
      <c r="N2157" s="454"/>
      <c r="O2157" s="454"/>
      <c r="P2157" s="454"/>
      <c r="Q2157" s="454"/>
      <c r="R2157" s="454"/>
      <c r="S2157" s="454"/>
      <c r="T2157" s="454"/>
      <c r="U2157" s="454"/>
      <c r="V2157" s="454"/>
      <c r="W2157" s="454"/>
      <c r="X2157" s="454"/>
      <c r="Y2157" s="454"/>
      <c r="Z2157" s="454"/>
      <c r="AA2157" s="454"/>
      <c r="AB2157" s="454"/>
      <c r="AC2157" s="454"/>
      <c r="AD2157" s="454"/>
      <c r="AE2157" s="454"/>
      <c r="AF2157" s="454"/>
      <c r="AG2157" s="454"/>
      <c r="AH2157" s="454"/>
      <c r="AI2157" s="454"/>
      <c r="AJ2157" s="769"/>
    </row>
    <row r="2158" spans="1:36" ht="14">
      <c r="A2158" s="40"/>
      <c r="B2158" s="40"/>
      <c r="C2158" s="124"/>
      <c r="D2158" s="124">
        <v>8</v>
      </c>
      <c r="E2158" s="124" t="s">
        <v>198</v>
      </c>
      <c r="F2158" s="451"/>
      <c r="G2158" s="537"/>
      <c r="H2158" s="66"/>
      <c r="I2158" s="66" t="s">
        <v>212</v>
      </c>
      <c r="J2158" s="452"/>
      <c r="K2158" s="453">
        <v>1155700</v>
      </c>
      <c r="L2158" s="454"/>
      <c r="M2158" s="454">
        <v>5000000</v>
      </c>
      <c r="N2158" s="454"/>
      <c r="O2158" s="454"/>
      <c r="P2158" s="454"/>
      <c r="Q2158" s="454"/>
      <c r="R2158" s="454"/>
      <c r="S2158" s="217">
        <f t="shared" ref="S2158" si="2529">SUM(M2158:R2158)</f>
        <v>5000000</v>
      </c>
      <c r="T2158" s="217"/>
      <c r="U2158" s="454"/>
      <c r="V2158" s="454"/>
      <c r="W2158" s="454"/>
      <c r="X2158" s="454">
        <v>600000</v>
      </c>
      <c r="Y2158" s="454"/>
      <c r="Z2158" s="217">
        <f>SUM(U2158:Y2158)</f>
        <v>600000</v>
      </c>
      <c r="AA2158" s="217"/>
      <c r="AB2158" s="454"/>
      <c r="AC2158" s="454"/>
      <c r="AD2158" s="454"/>
      <c r="AE2158" s="454">
        <v>184400</v>
      </c>
      <c r="AF2158" s="454"/>
      <c r="AG2158" s="217">
        <f t="shared" ref="AG2158" si="2530">SUM(AB2158:AF2158)</f>
        <v>184400</v>
      </c>
      <c r="AH2158" s="217">
        <f t="shared" ref="AH2158" si="2531">AG2158+AA2158</f>
        <v>184400</v>
      </c>
      <c r="AI2158" s="217">
        <v>184400</v>
      </c>
      <c r="AJ2158" s="764">
        <f>AI2158/AH2158*100</f>
        <v>100</v>
      </c>
    </row>
    <row r="2159" spans="1:36" ht="14">
      <c r="A2159" s="40"/>
      <c r="B2159" s="40"/>
      <c r="C2159" s="124"/>
      <c r="D2159" s="124"/>
      <c r="E2159" s="124"/>
      <c r="F2159" s="451"/>
      <c r="G2159" s="41"/>
      <c r="H2159" s="66"/>
      <c r="I2159" s="66"/>
      <c r="J2159" s="452"/>
      <c r="K2159" s="453"/>
      <c r="L2159" s="454"/>
      <c r="M2159" s="454"/>
      <c r="N2159" s="454"/>
      <c r="O2159" s="454"/>
      <c r="P2159" s="454"/>
      <c r="Q2159" s="454"/>
      <c r="R2159" s="454"/>
      <c r="S2159" s="526"/>
      <c r="T2159" s="526"/>
      <c r="U2159" s="454"/>
      <c r="V2159" s="454"/>
      <c r="W2159" s="454"/>
      <c r="X2159" s="454"/>
      <c r="Y2159" s="454"/>
      <c r="Z2159" s="526"/>
      <c r="AA2159" s="526"/>
      <c r="AB2159" s="454"/>
      <c r="AC2159" s="454"/>
      <c r="AD2159" s="454"/>
      <c r="AE2159" s="454"/>
      <c r="AF2159" s="454"/>
      <c r="AG2159" s="526"/>
      <c r="AH2159" s="526"/>
      <c r="AI2159" s="526"/>
      <c r="AJ2159" s="779"/>
    </row>
    <row r="2160" spans="1:36" ht="14">
      <c r="A2160" s="40"/>
      <c r="B2160" s="40"/>
      <c r="C2160" s="124"/>
      <c r="D2160" s="124"/>
      <c r="E2160" s="124"/>
      <c r="F2160" s="42"/>
      <c r="G2160" s="42"/>
      <c r="H2160" s="129"/>
      <c r="I2160" s="42" t="s">
        <v>37</v>
      </c>
      <c r="J2160" s="488"/>
      <c r="K2160" s="489">
        <f>SUM(K2158:K2159)</f>
        <v>1155700</v>
      </c>
      <c r="L2160" s="490">
        <f>SUM(L2158:L2159)</f>
        <v>0</v>
      </c>
      <c r="M2160" s="530">
        <f t="shared" ref="M2160:T2160" si="2532">SUM(M2156:M2159)</f>
        <v>5000000</v>
      </c>
      <c r="N2160" s="530">
        <f t="shared" si="2532"/>
        <v>0</v>
      </c>
      <c r="O2160" s="530">
        <f t="shared" si="2532"/>
        <v>0</v>
      </c>
      <c r="P2160" s="530">
        <f t="shared" si="2532"/>
        <v>0</v>
      </c>
      <c r="Q2160" s="530">
        <f t="shared" si="2532"/>
        <v>0</v>
      </c>
      <c r="R2160" s="530">
        <f t="shared" si="2532"/>
        <v>0</v>
      </c>
      <c r="S2160" s="530">
        <f t="shared" si="2532"/>
        <v>5000000</v>
      </c>
      <c r="T2160" s="530">
        <f t="shared" si="2532"/>
        <v>0</v>
      </c>
      <c r="U2160" s="530"/>
      <c r="V2160" s="530"/>
      <c r="W2160" s="530"/>
      <c r="X2160" s="530">
        <f>SUM(X2156:X2159)</f>
        <v>600000</v>
      </c>
      <c r="Y2160" s="530"/>
      <c r="Z2160" s="530">
        <f>SUM(Z2156:Z2159)</f>
        <v>600000</v>
      </c>
      <c r="AA2160" s="530">
        <f>SUM(AA2156:AA2159)</f>
        <v>0</v>
      </c>
      <c r="AB2160" s="530"/>
      <c r="AC2160" s="530">
        <f>SUM(AC2156:AC2159)</f>
        <v>0</v>
      </c>
      <c r="AD2160" s="530"/>
      <c r="AE2160" s="530">
        <f>SUM(AE2156:AE2159)</f>
        <v>184400</v>
      </c>
      <c r="AF2160" s="530"/>
      <c r="AG2160" s="530">
        <f>SUM(AG2156:AG2159)</f>
        <v>184400</v>
      </c>
      <c r="AH2160" s="530">
        <f>SUM(AH2156:AH2159)</f>
        <v>184400</v>
      </c>
      <c r="AI2160" s="530">
        <f>SUM(AI2156:AI2159)</f>
        <v>184400</v>
      </c>
      <c r="AJ2160" s="776">
        <f>AI2160/AH2160*100</f>
        <v>100</v>
      </c>
    </row>
    <row r="2161" spans="1:36" ht="14">
      <c r="A2161" s="160"/>
      <c r="B2161" s="160"/>
      <c r="C2161" s="161"/>
      <c r="D2161" s="161"/>
      <c r="E2161" s="161"/>
      <c r="F2161" s="41"/>
      <c r="G2161" s="41"/>
      <c r="H2161" s="66"/>
      <c r="I2161" s="41"/>
      <c r="J2161" s="205"/>
      <c r="K2161" s="467"/>
      <c r="L2161" s="205"/>
      <c r="M2161" s="760"/>
      <c r="N2161" s="760"/>
      <c r="O2161" s="760"/>
      <c r="P2161" s="760"/>
      <c r="Q2161" s="760"/>
      <c r="R2161" s="760"/>
      <c r="S2161" s="760"/>
      <c r="T2161" s="760"/>
      <c r="U2161" s="760"/>
      <c r="V2161" s="760"/>
      <c r="W2161" s="760"/>
      <c r="X2161" s="760"/>
      <c r="Y2161" s="760"/>
      <c r="Z2161" s="760"/>
      <c r="AA2161" s="760"/>
      <c r="AB2161" s="760"/>
      <c r="AC2161" s="760"/>
      <c r="AD2161" s="760"/>
      <c r="AE2161" s="760"/>
      <c r="AF2161" s="760"/>
      <c r="AG2161" s="760"/>
      <c r="AH2161" s="760"/>
      <c r="AI2161" s="760"/>
      <c r="AJ2161" s="777"/>
    </row>
    <row r="2162" spans="1:36" ht="14">
      <c r="A2162" s="40">
        <v>16</v>
      </c>
      <c r="B2162" s="40"/>
      <c r="C2162" s="124"/>
      <c r="D2162" s="124"/>
      <c r="E2162" s="124"/>
      <c r="F2162" s="942" t="s">
        <v>717</v>
      </c>
      <c r="G2162" s="935"/>
      <c r="H2162" s="935"/>
      <c r="I2162" s="936"/>
      <c r="J2162" s="452"/>
      <c r="K2162" s="453"/>
      <c r="L2162" s="454"/>
      <c r="M2162" s="454"/>
      <c r="N2162" s="454"/>
      <c r="O2162" s="454"/>
      <c r="P2162" s="454"/>
      <c r="Q2162" s="454"/>
      <c r="R2162" s="454"/>
      <c r="S2162" s="454"/>
      <c r="T2162" s="454"/>
      <c r="U2162" s="454"/>
      <c r="V2162" s="454"/>
      <c r="W2162" s="454"/>
      <c r="X2162" s="454"/>
      <c r="Y2162" s="454"/>
      <c r="Z2162" s="454"/>
      <c r="AA2162" s="454"/>
      <c r="AB2162" s="454"/>
      <c r="AC2162" s="454"/>
      <c r="AD2162" s="454"/>
      <c r="AE2162" s="454"/>
      <c r="AF2162" s="454"/>
      <c r="AG2162" s="454"/>
      <c r="AH2162" s="454"/>
      <c r="AI2162" s="454"/>
      <c r="AJ2162" s="769"/>
    </row>
    <row r="2163" spans="1:36" ht="14">
      <c r="A2163" s="40"/>
      <c r="B2163" s="40"/>
      <c r="C2163" s="124">
        <v>2</v>
      </c>
      <c r="D2163" s="124"/>
      <c r="E2163" s="124"/>
      <c r="F2163" s="451"/>
      <c r="G2163" s="41"/>
      <c r="H2163" s="162" t="s">
        <v>211</v>
      </c>
      <c r="I2163" s="66"/>
      <c r="J2163" s="452"/>
      <c r="K2163" s="453"/>
      <c r="L2163" s="454"/>
      <c r="M2163" s="454"/>
      <c r="N2163" s="454"/>
      <c r="O2163" s="454"/>
      <c r="P2163" s="454"/>
      <c r="Q2163" s="454"/>
      <c r="R2163" s="454"/>
      <c r="S2163" s="454"/>
      <c r="T2163" s="454"/>
      <c r="U2163" s="454"/>
      <c r="V2163" s="454"/>
      <c r="W2163" s="454"/>
      <c r="X2163" s="454"/>
      <c r="Y2163" s="454"/>
      <c r="Z2163" s="454"/>
      <c r="AA2163" s="454"/>
      <c r="AB2163" s="454"/>
      <c r="AC2163" s="454"/>
      <c r="AD2163" s="454"/>
      <c r="AE2163" s="454"/>
      <c r="AF2163" s="454"/>
      <c r="AG2163" s="454"/>
      <c r="AH2163" s="454"/>
      <c r="AI2163" s="454"/>
      <c r="AJ2163" s="769"/>
    </row>
    <row r="2164" spans="1:36" ht="14">
      <c r="A2164" s="40"/>
      <c r="B2164" s="40"/>
      <c r="C2164" s="124"/>
      <c r="D2164" s="124">
        <v>8</v>
      </c>
      <c r="E2164" s="124" t="s">
        <v>198</v>
      </c>
      <c r="F2164" s="451"/>
      <c r="G2164" s="537"/>
      <c r="H2164" s="66"/>
      <c r="I2164" s="66" t="s">
        <v>212</v>
      </c>
      <c r="J2164" s="452"/>
      <c r="K2164" s="453">
        <v>1155700</v>
      </c>
      <c r="L2164" s="454"/>
      <c r="M2164" s="454">
        <v>5000000</v>
      </c>
      <c r="N2164" s="454"/>
      <c r="O2164" s="454"/>
      <c r="P2164" s="454"/>
      <c r="Q2164" s="454"/>
      <c r="R2164" s="454"/>
      <c r="S2164" s="217">
        <f t="shared" ref="S2164" si="2533">SUM(M2164:R2164)</f>
        <v>5000000</v>
      </c>
      <c r="T2164" s="217"/>
      <c r="U2164" s="454"/>
      <c r="V2164" s="454"/>
      <c r="W2164" s="454"/>
      <c r="X2164" s="454">
        <v>600000</v>
      </c>
      <c r="Y2164" s="454"/>
      <c r="Z2164" s="217">
        <f>SUM(U2164:Y2164)</f>
        <v>600000</v>
      </c>
      <c r="AA2164" s="217"/>
      <c r="AB2164" s="454"/>
      <c r="AC2164" s="454">
        <v>2644790</v>
      </c>
      <c r="AD2164" s="454"/>
      <c r="AE2164" s="454"/>
      <c r="AF2164" s="454"/>
      <c r="AG2164" s="217">
        <f t="shared" ref="AG2164" si="2534">SUM(AB2164:AF2164)</f>
        <v>2644790</v>
      </c>
      <c r="AH2164" s="217">
        <f t="shared" ref="AH2164" si="2535">AG2164+AA2164</f>
        <v>2644790</v>
      </c>
      <c r="AI2164" s="217">
        <v>2644790</v>
      </c>
      <c r="AJ2164" s="764">
        <f>AI2164/AH2164*100</f>
        <v>100</v>
      </c>
    </row>
    <row r="2165" spans="1:36" ht="14">
      <c r="A2165" s="40"/>
      <c r="B2165" s="40"/>
      <c r="C2165" s="124"/>
      <c r="D2165" s="124"/>
      <c r="E2165" s="124"/>
      <c r="F2165" s="451"/>
      <c r="G2165" s="41"/>
      <c r="H2165" s="66"/>
      <c r="I2165" s="66"/>
      <c r="J2165" s="452"/>
      <c r="K2165" s="453"/>
      <c r="L2165" s="454"/>
      <c r="M2165" s="454"/>
      <c r="N2165" s="454"/>
      <c r="O2165" s="454"/>
      <c r="P2165" s="454"/>
      <c r="Q2165" s="454"/>
      <c r="R2165" s="454"/>
      <c r="S2165" s="526"/>
      <c r="T2165" s="526"/>
      <c r="U2165" s="454"/>
      <c r="V2165" s="454"/>
      <c r="W2165" s="454"/>
      <c r="X2165" s="454"/>
      <c r="Y2165" s="454"/>
      <c r="Z2165" s="526"/>
      <c r="AA2165" s="526"/>
      <c r="AB2165" s="454"/>
      <c r="AC2165" s="454"/>
      <c r="AD2165" s="454"/>
      <c r="AE2165" s="454"/>
      <c r="AF2165" s="454"/>
      <c r="AG2165" s="526"/>
      <c r="AH2165" s="526"/>
      <c r="AI2165" s="526"/>
      <c r="AJ2165" s="779"/>
    </row>
    <row r="2166" spans="1:36" ht="14">
      <c r="A2166" s="40"/>
      <c r="B2166" s="40"/>
      <c r="C2166" s="124"/>
      <c r="D2166" s="124"/>
      <c r="E2166" s="124"/>
      <c r="F2166" s="42"/>
      <c r="G2166" s="42"/>
      <c r="H2166" s="129"/>
      <c r="I2166" s="42" t="s">
        <v>37</v>
      </c>
      <c r="J2166" s="488"/>
      <c r="K2166" s="489">
        <f>SUM(K2164:K2165)</f>
        <v>1155700</v>
      </c>
      <c r="L2166" s="490">
        <f>SUM(L2164:L2165)</f>
        <v>0</v>
      </c>
      <c r="M2166" s="530">
        <f t="shared" ref="M2166:T2166" si="2536">SUM(M2162:M2165)</f>
        <v>5000000</v>
      </c>
      <c r="N2166" s="530">
        <f t="shared" si="2536"/>
        <v>0</v>
      </c>
      <c r="O2166" s="530">
        <f t="shared" si="2536"/>
        <v>0</v>
      </c>
      <c r="P2166" s="530">
        <f t="shared" si="2536"/>
        <v>0</v>
      </c>
      <c r="Q2166" s="530">
        <f t="shared" si="2536"/>
        <v>0</v>
      </c>
      <c r="R2166" s="530">
        <f t="shared" si="2536"/>
        <v>0</v>
      </c>
      <c r="S2166" s="530">
        <f t="shared" si="2536"/>
        <v>5000000</v>
      </c>
      <c r="T2166" s="530">
        <f t="shared" si="2536"/>
        <v>0</v>
      </c>
      <c r="U2166" s="530"/>
      <c r="V2166" s="530"/>
      <c r="W2166" s="530"/>
      <c r="X2166" s="530">
        <f>SUM(X2162:X2165)</f>
        <v>600000</v>
      </c>
      <c r="Y2166" s="530"/>
      <c r="Z2166" s="530">
        <f>SUM(Z2162:Z2165)</f>
        <v>600000</v>
      </c>
      <c r="AA2166" s="530">
        <f>SUM(AA2162:AA2165)</f>
        <v>0</v>
      </c>
      <c r="AB2166" s="530"/>
      <c r="AC2166" s="530">
        <f>SUM(AC2162:AC2165)</f>
        <v>2644790</v>
      </c>
      <c r="AD2166" s="530"/>
      <c r="AE2166" s="530">
        <f>SUM(AE2162:AE2165)</f>
        <v>0</v>
      </c>
      <c r="AF2166" s="530"/>
      <c r="AG2166" s="530">
        <f>SUM(AG2162:AG2165)</f>
        <v>2644790</v>
      </c>
      <c r="AH2166" s="530">
        <f>SUM(AH2162:AH2165)</f>
        <v>2644790</v>
      </c>
      <c r="AI2166" s="530">
        <f>SUM(AI2162:AI2165)</f>
        <v>2644790</v>
      </c>
      <c r="AJ2166" s="776">
        <f>AI2166/AH2166*100</f>
        <v>100</v>
      </c>
    </row>
    <row r="2167" spans="1:36" ht="14">
      <c r="A2167" s="160"/>
      <c r="B2167" s="160"/>
      <c r="C2167" s="161"/>
      <c r="D2167" s="161"/>
      <c r="E2167" s="161"/>
      <c r="F2167" s="41"/>
      <c r="G2167" s="41"/>
      <c r="H2167" s="66"/>
      <c r="I2167" s="41"/>
      <c r="J2167" s="205"/>
      <c r="K2167" s="467"/>
      <c r="L2167" s="205"/>
      <c r="M2167" s="760"/>
      <c r="N2167" s="760"/>
      <c r="O2167" s="760"/>
      <c r="P2167" s="760"/>
      <c r="Q2167" s="760"/>
      <c r="R2167" s="760"/>
      <c r="S2167" s="760"/>
      <c r="T2167" s="760"/>
      <c r="U2167" s="760"/>
      <c r="V2167" s="760"/>
      <c r="W2167" s="760"/>
      <c r="X2167" s="760"/>
      <c r="Y2167" s="760"/>
      <c r="Z2167" s="760"/>
      <c r="AA2167" s="760"/>
      <c r="AB2167" s="760"/>
      <c r="AC2167" s="760"/>
      <c r="AD2167" s="760"/>
      <c r="AE2167" s="760"/>
      <c r="AF2167" s="760"/>
      <c r="AG2167" s="760"/>
      <c r="AH2167" s="760"/>
      <c r="AI2167" s="760"/>
      <c r="AJ2167" s="777"/>
    </row>
    <row r="2168" spans="1:36" ht="14">
      <c r="A2168" s="40">
        <v>17</v>
      </c>
      <c r="B2168" s="40"/>
      <c r="C2168" s="124"/>
      <c r="D2168" s="124"/>
      <c r="E2168" s="124"/>
      <c r="F2168" s="942" t="s">
        <v>718</v>
      </c>
      <c r="G2168" s="935"/>
      <c r="H2168" s="935"/>
      <c r="I2168" s="936"/>
      <c r="J2168" s="452"/>
      <c r="K2168" s="453"/>
      <c r="L2168" s="454"/>
      <c r="M2168" s="454"/>
      <c r="N2168" s="454"/>
      <c r="O2168" s="454"/>
      <c r="P2168" s="454"/>
      <c r="Q2168" s="454"/>
      <c r="R2168" s="454"/>
      <c r="S2168" s="454"/>
      <c r="T2168" s="454"/>
      <c r="U2168" s="454"/>
      <c r="V2168" s="454"/>
      <c r="W2168" s="454"/>
      <c r="X2168" s="454"/>
      <c r="Y2168" s="454"/>
      <c r="Z2168" s="454"/>
      <c r="AA2168" s="454"/>
      <c r="AB2168" s="454"/>
      <c r="AC2168" s="454"/>
      <c r="AD2168" s="454"/>
      <c r="AE2168" s="454"/>
      <c r="AF2168" s="454"/>
      <c r="AG2168" s="454"/>
      <c r="AH2168" s="454"/>
      <c r="AI2168" s="454"/>
      <c r="AJ2168" s="769"/>
    </row>
    <row r="2169" spans="1:36" ht="14">
      <c r="A2169" s="40"/>
      <c r="B2169" s="40"/>
      <c r="C2169" s="124">
        <v>2</v>
      </c>
      <c r="D2169" s="124"/>
      <c r="E2169" s="124"/>
      <c r="F2169" s="451"/>
      <c r="G2169" s="41"/>
      <c r="H2169" s="162" t="s">
        <v>211</v>
      </c>
      <c r="I2169" s="66"/>
      <c r="J2169" s="452"/>
      <c r="K2169" s="453"/>
      <c r="L2169" s="454"/>
      <c r="M2169" s="454"/>
      <c r="N2169" s="454"/>
      <c r="O2169" s="454"/>
      <c r="P2169" s="454"/>
      <c r="Q2169" s="454"/>
      <c r="R2169" s="454"/>
      <c r="S2169" s="454"/>
      <c r="T2169" s="454"/>
      <c r="U2169" s="454"/>
      <c r="V2169" s="454"/>
      <c r="W2169" s="454"/>
      <c r="X2169" s="454"/>
      <c r="Y2169" s="454"/>
      <c r="Z2169" s="454"/>
      <c r="AA2169" s="454"/>
      <c r="AB2169" s="454"/>
      <c r="AC2169" s="454"/>
      <c r="AD2169" s="454"/>
      <c r="AE2169" s="454"/>
      <c r="AF2169" s="454"/>
      <c r="AG2169" s="454"/>
      <c r="AH2169" s="454"/>
      <c r="AI2169" s="454"/>
      <c r="AJ2169" s="769"/>
    </row>
    <row r="2170" spans="1:36" ht="14">
      <c r="A2170" s="40"/>
      <c r="B2170" s="40"/>
      <c r="C2170" s="124"/>
      <c r="D2170" s="124">
        <v>8</v>
      </c>
      <c r="E2170" s="124" t="s">
        <v>198</v>
      </c>
      <c r="F2170" s="451"/>
      <c r="G2170" s="537"/>
      <c r="H2170" s="66"/>
      <c r="I2170" s="66" t="s">
        <v>212</v>
      </c>
      <c r="J2170" s="452"/>
      <c r="K2170" s="453">
        <v>1155700</v>
      </c>
      <c r="L2170" s="454"/>
      <c r="M2170" s="454">
        <v>5000000</v>
      </c>
      <c r="N2170" s="454"/>
      <c r="O2170" s="454"/>
      <c r="P2170" s="454"/>
      <c r="Q2170" s="454"/>
      <c r="R2170" s="454"/>
      <c r="S2170" s="217">
        <f t="shared" ref="S2170" si="2537">SUM(M2170:R2170)</f>
        <v>5000000</v>
      </c>
      <c r="T2170" s="217"/>
      <c r="U2170" s="454"/>
      <c r="V2170" s="454"/>
      <c r="W2170" s="454"/>
      <c r="X2170" s="454">
        <v>600000</v>
      </c>
      <c r="Y2170" s="454"/>
      <c r="Z2170" s="217">
        <f>SUM(U2170:Y2170)</f>
        <v>600000</v>
      </c>
      <c r="AA2170" s="217"/>
      <c r="AB2170" s="454"/>
      <c r="AC2170" s="454"/>
      <c r="AD2170" s="454"/>
      <c r="AE2170" s="454">
        <v>112000</v>
      </c>
      <c r="AF2170" s="454"/>
      <c r="AG2170" s="217">
        <f t="shared" ref="AG2170" si="2538">SUM(AB2170:AF2170)</f>
        <v>112000</v>
      </c>
      <c r="AH2170" s="217">
        <f t="shared" ref="AH2170" si="2539">AG2170+AA2170</f>
        <v>112000</v>
      </c>
      <c r="AI2170" s="217">
        <v>112000</v>
      </c>
      <c r="AJ2170" s="764">
        <f>AI2170/AH2170*100</f>
        <v>100</v>
      </c>
    </row>
    <row r="2171" spans="1:36" ht="14">
      <c r="A2171" s="40"/>
      <c r="B2171" s="40"/>
      <c r="C2171" s="124"/>
      <c r="D2171" s="124"/>
      <c r="E2171" s="124"/>
      <c r="F2171" s="451"/>
      <c r="G2171" s="41"/>
      <c r="H2171" s="66"/>
      <c r="I2171" s="66"/>
      <c r="J2171" s="452"/>
      <c r="K2171" s="453"/>
      <c r="L2171" s="454"/>
      <c r="M2171" s="454"/>
      <c r="N2171" s="454"/>
      <c r="O2171" s="454"/>
      <c r="P2171" s="454"/>
      <c r="Q2171" s="454"/>
      <c r="R2171" s="454"/>
      <c r="S2171" s="526"/>
      <c r="T2171" s="526"/>
      <c r="U2171" s="454"/>
      <c r="V2171" s="454"/>
      <c r="W2171" s="454"/>
      <c r="X2171" s="454"/>
      <c r="Y2171" s="454"/>
      <c r="Z2171" s="526"/>
      <c r="AA2171" s="526"/>
      <c r="AB2171" s="454"/>
      <c r="AC2171" s="454"/>
      <c r="AD2171" s="454"/>
      <c r="AE2171" s="454"/>
      <c r="AF2171" s="454"/>
      <c r="AG2171" s="526"/>
      <c r="AH2171" s="526"/>
      <c r="AI2171" s="526"/>
      <c r="AJ2171" s="779"/>
    </row>
    <row r="2172" spans="1:36" ht="14">
      <c r="A2172" s="40"/>
      <c r="B2172" s="40"/>
      <c r="C2172" s="124"/>
      <c r="D2172" s="124"/>
      <c r="E2172" s="124"/>
      <c r="F2172" s="42"/>
      <c r="G2172" s="42"/>
      <c r="H2172" s="129"/>
      <c r="I2172" s="42" t="s">
        <v>37</v>
      </c>
      <c r="J2172" s="488"/>
      <c r="K2172" s="489">
        <f>SUM(K2170:K2171)</f>
        <v>1155700</v>
      </c>
      <c r="L2172" s="490">
        <f>SUM(L2170:L2171)</f>
        <v>0</v>
      </c>
      <c r="M2172" s="530">
        <f t="shared" ref="M2172:T2172" si="2540">SUM(M2168:M2171)</f>
        <v>5000000</v>
      </c>
      <c r="N2172" s="530">
        <f t="shared" si="2540"/>
        <v>0</v>
      </c>
      <c r="O2172" s="530">
        <f t="shared" si="2540"/>
        <v>0</v>
      </c>
      <c r="P2172" s="530">
        <f t="shared" si="2540"/>
        <v>0</v>
      </c>
      <c r="Q2172" s="530">
        <f t="shared" si="2540"/>
        <v>0</v>
      </c>
      <c r="R2172" s="530">
        <f t="shared" si="2540"/>
        <v>0</v>
      </c>
      <c r="S2172" s="530">
        <f t="shared" si="2540"/>
        <v>5000000</v>
      </c>
      <c r="T2172" s="530">
        <f t="shared" si="2540"/>
        <v>0</v>
      </c>
      <c r="U2172" s="530"/>
      <c r="V2172" s="530"/>
      <c r="W2172" s="530"/>
      <c r="X2172" s="530">
        <f>SUM(X2168:X2171)</f>
        <v>600000</v>
      </c>
      <c r="Y2172" s="530"/>
      <c r="Z2172" s="530">
        <f>SUM(Z2168:Z2171)</f>
        <v>600000</v>
      </c>
      <c r="AA2172" s="530">
        <f>SUM(AA2168:AA2171)</f>
        <v>0</v>
      </c>
      <c r="AB2172" s="530"/>
      <c r="AC2172" s="530">
        <f>SUM(AC2168:AC2171)</f>
        <v>0</v>
      </c>
      <c r="AD2172" s="530"/>
      <c r="AE2172" s="530">
        <f>SUM(AE2168:AE2171)</f>
        <v>112000</v>
      </c>
      <c r="AF2172" s="530"/>
      <c r="AG2172" s="530">
        <f>SUM(AG2168:AG2171)</f>
        <v>112000</v>
      </c>
      <c r="AH2172" s="530">
        <f>SUM(AH2168:AH2171)</f>
        <v>112000</v>
      </c>
      <c r="AI2172" s="530">
        <f>SUM(AI2168:AI2171)</f>
        <v>112000</v>
      </c>
      <c r="AJ2172" s="776">
        <f>AI2172/AH2172*100</f>
        <v>100</v>
      </c>
    </row>
    <row r="2173" spans="1:36" ht="14">
      <c r="A2173" s="40"/>
      <c r="B2173" s="40"/>
      <c r="C2173" s="124"/>
      <c r="D2173" s="124"/>
      <c r="E2173" s="124"/>
      <c r="F2173" s="41"/>
      <c r="G2173" s="41"/>
      <c r="H2173" s="66"/>
      <c r="I2173" s="41"/>
      <c r="J2173" s="126"/>
      <c r="K2173" s="204"/>
      <c r="L2173" s="205"/>
      <c r="M2173" s="205"/>
      <c r="N2173" s="205"/>
      <c r="O2173" s="205"/>
      <c r="P2173" s="205"/>
      <c r="Q2173" s="205"/>
      <c r="R2173" s="205"/>
      <c r="S2173" s="205"/>
      <c r="T2173" s="205"/>
      <c r="U2173" s="205"/>
      <c r="V2173" s="205"/>
      <c r="W2173" s="205"/>
      <c r="X2173" s="205"/>
      <c r="Y2173" s="205"/>
      <c r="Z2173" s="205"/>
      <c r="AA2173" s="205"/>
      <c r="AB2173" s="205"/>
      <c r="AC2173" s="205"/>
      <c r="AD2173" s="205"/>
      <c r="AE2173" s="205"/>
      <c r="AF2173" s="205"/>
      <c r="AG2173" s="205"/>
      <c r="AH2173" s="205"/>
      <c r="AI2173" s="205"/>
      <c r="AJ2173" s="747"/>
    </row>
    <row r="2174" spans="1:36" ht="14">
      <c r="A2174" s="509"/>
      <c r="B2174" s="670"/>
      <c r="C2174" s="510"/>
      <c r="D2174" s="510"/>
      <c r="E2174" s="510"/>
      <c r="F2174" s="937" t="s">
        <v>200</v>
      </c>
      <c r="G2174" s="937"/>
      <c r="H2174" s="937"/>
      <c r="I2174" s="938"/>
      <c r="J2174" s="511"/>
      <c r="K2174" s="512"/>
      <c r="L2174" s="223"/>
      <c r="M2174" s="223">
        <f t="shared" ref="M2174:T2174" si="2541">M2121</f>
        <v>0</v>
      </c>
      <c r="N2174" s="223">
        <f t="shared" si="2541"/>
        <v>0</v>
      </c>
      <c r="O2174" s="223">
        <f t="shared" si="2541"/>
        <v>0</v>
      </c>
      <c r="P2174" s="223">
        <f t="shared" si="2541"/>
        <v>0</v>
      </c>
      <c r="Q2174" s="223">
        <f t="shared" si="2541"/>
        <v>1000000</v>
      </c>
      <c r="R2174" s="223">
        <f t="shared" si="2541"/>
        <v>0</v>
      </c>
      <c r="S2174" s="223">
        <f t="shared" si="2541"/>
        <v>1000000</v>
      </c>
      <c r="T2174" s="223">
        <f t="shared" si="2541"/>
        <v>1000000</v>
      </c>
      <c r="U2174" s="223">
        <f t="shared" ref="U2174:AA2174" si="2542">U2121+U2115</f>
        <v>0</v>
      </c>
      <c r="V2174" s="223">
        <f t="shared" si="2542"/>
        <v>0</v>
      </c>
      <c r="W2174" s="223">
        <f t="shared" si="2542"/>
        <v>686340</v>
      </c>
      <c r="X2174" s="223">
        <f t="shared" si="2542"/>
        <v>0</v>
      </c>
      <c r="Y2174" s="223">
        <f t="shared" si="2542"/>
        <v>0</v>
      </c>
      <c r="Z2174" s="223">
        <f t="shared" si="2542"/>
        <v>686340</v>
      </c>
      <c r="AA2174" s="223">
        <f t="shared" si="2542"/>
        <v>1686340</v>
      </c>
      <c r="AB2174" s="223">
        <f t="shared" ref="AB2174:AH2174" si="2543">AB2121+AB2115+AB2152</f>
        <v>0</v>
      </c>
      <c r="AC2174" s="223">
        <f t="shared" si="2543"/>
        <v>18524000</v>
      </c>
      <c r="AD2174" s="223">
        <f t="shared" si="2543"/>
        <v>0</v>
      </c>
      <c r="AE2174" s="223">
        <f t="shared" si="2543"/>
        <v>0</v>
      </c>
      <c r="AF2174" s="223">
        <f t="shared" si="2543"/>
        <v>0</v>
      </c>
      <c r="AG2174" s="223">
        <f t="shared" si="2543"/>
        <v>18524000</v>
      </c>
      <c r="AH2174" s="223">
        <f t="shared" si="2543"/>
        <v>20210340</v>
      </c>
      <c r="AI2174" s="223">
        <f t="shared" ref="AI2174" si="2544">AI2121+AI2115+AI2152</f>
        <v>20210340</v>
      </c>
      <c r="AJ2174" s="778">
        <f>AI2174/AH2174*100</f>
        <v>100</v>
      </c>
    </row>
    <row r="2175" spans="1:36" ht="14">
      <c r="A2175" s="40"/>
      <c r="B2175" s="40"/>
      <c r="C2175" s="124"/>
      <c r="D2175" s="124"/>
      <c r="E2175" s="124"/>
      <c r="F2175" s="41"/>
      <c r="G2175" s="41"/>
      <c r="H2175" s="66"/>
      <c r="I2175" s="41"/>
      <c r="J2175" s="126"/>
      <c r="K2175" s="204"/>
      <c r="L2175" s="205"/>
      <c r="M2175" s="205"/>
      <c r="N2175" s="205"/>
      <c r="O2175" s="205"/>
      <c r="P2175" s="205"/>
      <c r="Q2175" s="205"/>
      <c r="R2175" s="205"/>
      <c r="S2175" s="205"/>
      <c r="T2175" s="205"/>
      <c r="U2175" s="205"/>
      <c r="V2175" s="205"/>
      <c r="W2175" s="205"/>
      <c r="X2175" s="205"/>
      <c r="Y2175" s="205"/>
      <c r="Z2175" s="205"/>
      <c r="AA2175" s="205"/>
      <c r="AB2175" s="205"/>
      <c r="AC2175" s="205"/>
      <c r="AD2175" s="205"/>
      <c r="AE2175" s="205"/>
      <c r="AF2175" s="205"/>
      <c r="AG2175" s="205"/>
      <c r="AH2175" s="205"/>
      <c r="AI2175" s="205"/>
      <c r="AJ2175" s="747"/>
    </row>
    <row r="2176" spans="1:36" ht="14">
      <c r="A2176" s="509"/>
      <c r="B2176" s="670"/>
      <c r="C2176" s="510"/>
      <c r="D2176" s="510"/>
      <c r="E2176" s="510"/>
      <c r="F2176" s="937" t="s">
        <v>201</v>
      </c>
      <c r="G2176" s="937"/>
      <c r="H2176" s="937"/>
      <c r="I2176" s="938"/>
      <c r="J2176" s="511"/>
      <c r="K2176" s="512">
        <f>SUM(K2062:K2071)/2</f>
        <v>7155700</v>
      </c>
      <c r="L2176" s="223">
        <f>SUM(L2062:L2142)/2</f>
        <v>7155700</v>
      </c>
      <c r="M2176" s="223">
        <f t="shared" ref="M2176:T2176" si="2545">M2178-M2174</f>
        <v>43973483</v>
      </c>
      <c r="N2176" s="223">
        <f t="shared" si="2545"/>
        <v>0</v>
      </c>
      <c r="O2176" s="223">
        <f t="shared" si="2545"/>
        <v>1089000</v>
      </c>
      <c r="P2176" s="223">
        <f t="shared" si="2545"/>
        <v>686340</v>
      </c>
      <c r="Q2176" s="223">
        <f t="shared" si="2545"/>
        <v>0</v>
      </c>
      <c r="R2176" s="223">
        <f t="shared" si="2545"/>
        <v>0</v>
      </c>
      <c r="S2176" s="223">
        <f t="shared" si="2545"/>
        <v>45748823</v>
      </c>
      <c r="T2176" s="223">
        <f t="shared" si="2545"/>
        <v>51725283</v>
      </c>
      <c r="U2176" s="223"/>
      <c r="V2176" s="223"/>
      <c r="W2176" s="223">
        <f t="shared" ref="W2176:Y2176" si="2546">W2178-W2174</f>
        <v>-686340</v>
      </c>
      <c r="X2176" s="223">
        <f t="shared" si="2546"/>
        <v>600000</v>
      </c>
      <c r="Y2176" s="223">
        <f t="shared" si="2546"/>
        <v>0</v>
      </c>
      <c r="Z2176" s="223">
        <f t="shared" ref="Z2176:AH2176" si="2547">Z2178-Z2174</f>
        <v>-86340</v>
      </c>
      <c r="AA2176" s="223">
        <f t="shared" si="2547"/>
        <v>51638943</v>
      </c>
      <c r="AB2176" s="223">
        <f t="shared" si="2547"/>
        <v>0</v>
      </c>
      <c r="AC2176" s="223">
        <f t="shared" si="2547"/>
        <v>2644790</v>
      </c>
      <c r="AD2176" s="223">
        <f t="shared" si="2547"/>
        <v>0</v>
      </c>
      <c r="AE2176" s="223">
        <f t="shared" si="2547"/>
        <v>2280808</v>
      </c>
      <c r="AF2176" s="223">
        <f t="shared" si="2547"/>
        <v>0</v>
      </c>
      <c r="AG2176" s="223">
        <f t="shared" si="2547"/>
        <v>4925598</v>
      </c>
      <c r="AH2176" s="223">
        <f t="shared" si="2547"/>
        <v>56564541</v>
      </c>
      <c r="AI2176" s="223">
        <f t="shared" ref="AI2176" si="2548">AI2178-AI2174</f>
        <v>27615308</v>
      </c>
      <c r="AJ2176" s="778">
        <f>AI2176/AH2176*100</f>
        <v>48.820882326261604</v>
      </c>
    </row>
    <row r="2177" spans="1:36" ht="14.5" thickBot="1">
      <c r="A2177" s="40"/>
      <c r="B2177" s="40"/>
      <c r="C2177" s="124"/>
      <c r="D2177" s="124"/>
      <c r="E2177" s="124"/>
      <c r="F2177" s="41"/>
      <c r="G2177" s="41"/>
      <c r="H2177" s="63"/>
      <c r="I2177" s="41"/>
      <c r="J2177" s="680"/>
      <c r="K2177" s="679"/>
      <c r="L2177" s="678"/>
      <c r="M2177" s="678"/>
      <c r="N2177" s="678"/>
      <c r="O2177" s="678"/>
      <c r="P2177" s="678"/>
      <c r="Q2177" s="678"/>
      <c r="R2177" s="678"/>
      <c r="S2177" s="678"/>
      <c r="T2177" s="678"/>
      <c r="U2177" s="678"/>
      <c r="V2177" s="678"/>
      <c r="W2177" s="678"/>
      <c r="X2177" s="678"/>
      <c r="Y2177" s="678"/>
      <c r="Z2177" s="678"/>
      <c r="AA2177" s="678"/>
      <c r="AB2177" s="702"/>
      <c r="AC2177" s="702"/>
      <c r="AD2177" s="702"/>
      <c r="AE2177" s="702"/>
      <c r="AF2177" s="702"/>
      <c r="AG2177" s="702"/>
      <c r="AH2177" s="702"/>
      <c r="AI2177" s="760"/>
      <c r="AJ2177" s="780"/>
    </row>
    <row r="2178" spans="1:36" ht="14.5" thickBot="1">
      <c r="A2178" s="589"/>
      <c r="B2178" s="675"/>
      <c r="C2178" s="590"/>
      <c r="D2178" s="590"/>
      <c r="E2178" s="590"/>
      <c r="F2178" s="591"/>
      <c r="G2178" s="583"/>
      <c r="H2178" s="591"/>
      <c r="I2178" s="586" t="s">
        <v>187</v>
      </c>
      <c r="J2178" s="592"/>
      <c r="K2178" s="593">
        <f>SUM(K2176)</f>
        <v>7155700</v>
      </c>
      <c r="L2178" s="594">
        <f>SUM(L2176)</f>
        <v>7155700</v>
      </c>
      <c r="M2178" s="594">
        <f t="shared" ref="M2178:S2178" si="2549">SUM(M2060:M2142)/2</f>
        <v>43973483</v>
      </c>
      <c r="N2178" s="594">
        <f t="shared" si="2549"/>
        <v>0</v>
      </c>
      <c r="O2178" s="594">
        <f t="shared" si="2549"/>
        <v>1089000</v>
      </c>
      <c r="P2178" s="594">
        <f t="shared" si="2549"/>
        <v>686340</v>
      </c>
      <c r="Q2178" s="594">
        <f t="shared" si="2549"/>
        <v>1000000</v>
      </c>
      <c r="R2178" s="594">
        <f t="shared" si="2549"/>
        <v>0</v>
      </c>
      <c r="S2178" s="594">
        <f t="shared" si="2549"/>
        <v>46748823</v>
      </c>
      <c r="T2178" s="594">
        <f t="shared" ref="T2178:AA2178" si="2550">T2148+T2142+T2135+T2129+T2123+T2117+T2110+T2095+T2089+T2083+T2077+T2071+T2065</f>
        <v>52725283</v>
      </c>
      <c r="U2178" s="594">
        <f t="shared" si="2550"/>
        <v>0</v>
      </c>
      <c r="V2178" s="594">
        <f t="shared" si="2550"/>
        <v>0</v>
      </c>
      <c r="W2178" s="594">
        <f t="shared" si="2550"/>
        <v>0</v>
      </c>
      <c r="X2178" s="594">
        <f t="shared" si="2550"/>
        <v>600000</v>
      </c>
      <c r="Y2178" s="594">
        <f t="shared" si="2550"/>
        <v>0</v>
      </c>
      <c r="Z2178" s="594">
        <f t="shared" si="2550"/>
        <v>600000</v>
      </c>
      <c r="AA2178" s="594">
        <f t="shared" si="2550"/>
        <v>53325283</v>
      </c>
      <c r="AB2178" s="594">
        <f>AB2148+AB2142+AB2135+AB2129+AB2123+AB2117+AB2110+AB2095+AB2089+AB2083+AB2077+AB2071+AB2065+AB2172+AB2166+AB2160+AB2154</f>
        <v>0</v>
      </c>
      <c r="AC2178" s="594">
        <f t="shared" ref="AC2178:AI2178" si="2551">AC2148+AC2142+AC2135+AC2129+AC2123+AC2117+AC2110+AC2095+AC2089+AC2083+AC2077+AC2071+AC2065+AC2172+AC2166+AC2160+AC2154</f>
        <v>21168790</v>
      </c>
      <c r="AD2178" s="594">
        <f t="shared" si="2551"/>
        <v>0</v>
      </c>
      <c r="AE2178" s="594">
        <f t="shared" si="2551"/>
        <v>2280808</v>
      </c>
      <c r="AF2178" s="594">
        <f t="shared" si="2551"/>
        <v>0</v>
      </c>
      <c r="AG2178" s="594">
        <f>AG2148+AG2142+AG2135+AG2129+AG2123+AG2117+AG2110+AG2095+AG2089+AG2083+AG2077+AG2071+AG2065+AG2172+AG2166+AG2160+AG2154</f>
        <v>23449598</v>
      </c>
      <c r="AH2178" s="594">
        <f t="shared" si="2551"/>
        <v>76774881</v>
      </c>
      <c r="AI2178" s="594">
        <f t="shared" si="2551"/>
        <v>47825648</v>
      </c>
      <c r="AJ2178" s="793">
        <f>AI2178/AH2178*100</f>
        <v>62.293353473253831</v>
      </c>
    </row>
    <row r="2179" spans="1:36" ht="12.5" customHeight="1">
      <c r="A2179" s="441"/>
      <c r="B2179" s="441"/>
      <c r="C2179" s="133"/>
      <c r="D2179" s="133"/>
      <c r="E2179" s="133"/>
      <c r="F2179" s="449"/>
      <c r="G2179" s="449"/>
      <c r="H2179" s="450"/>
      <c r="I2179" s="450"/>
      <c r="J2179" s="445"/>
      <c r="K2179" s="446"/>
      <c r="L2179" s="447"/>
      <c r="M2179" s="447"/>
      <c r="N2179" s="447"/>
      <c r="O2179" s="447"/>
      <c r="P2179" s="447"/>
      <c r="Q2179" s="447"/>
      <c r="R2179" s="447"/>
      <c r="S2179" s="447"/>
      <c r="T2179" s="447"/>
      <c r="U2179" s="447"/>
      <c r="V2179" s="447"/>
      <c r="W2179" s="447"/>
      <c r="X2179" s="447"/>
      <c r="Y2179" s="447"/>
      <c r="Z2179" s="447"/>
      <c r="AA2179" s="447"/>
      <c r="AB2179" s="447"/>
      <c r="AC2179" s="447"/>
      <c r="AD2179" s="447"/>
      <c r="AE2179" s="447"/>
      <c r="AF2179" s="447"/>
      <c r="AG2179" s="447"/>
      <c r="AH2179" s="447"/>
      <c r="AI2179" s="447"/>
      <c r="AJ2179" s="768"/>
    </row>
    <row r="2180" spans="1:36" ht="19" customHeight="1">
      <c r="A2180" s="441"/>
      <c r="B2180" s="441"/>
      <c r="C2180" s="133"/>
      <c r="D2180" s="133"/>
      <c r="E2180" s="133"/>
      <c r="F2180" s="442" t="s">
        <v>300</v>
      </c>
      <c r="G2180" s="443"/>
      <c r="H2180" s="444"/>
      <c r="I2180" s="444"/>
      <c r="J2180" s="445"/>
      <c r="K2180" s="446"/>
      <c r="L2180" s="447"/>
      <c r="M2180" s="447"/>
      <c r="N2180" s="447"/>
      <c r="O2180" s="447"/>
      <c r="P2180" s="447"/>
      <c r="Q2180" s="447"/>
      <c r="R2180" s="447"/>
      <c r="S2180" s="447"/>
      <c r="T2180" s="447"/>
      <c r="U2180" s="447"/>
      <c r="V2180" s="447"/>
      <c r="W2180" s="447"/>
      <c r="X2180" s="447"/>
      <c r="Y2180" s="447"/>
      <c r="Z2180" s="447"/>
      <c r="AA2180" s="447"/>
      <c r="AB2180" s="447"/>
      <c r="AC2180" s="447"/>
      <c r="AD2180" s="447"/>
      <c r="AE2180" s="447"/>
      <c r="AF2180" s="447"/>
      <c r="AG2180" s="447"/>
      <c r="AH2180" s="447"/>
      <c r="AI2180" s="447"/>
      <c r="AJ2180" s="768"/>
    </row>
    <row r="2181" spans="1:36" ht="12.5" customHeight="1">
      <c r="A2181" s="40"/>
      <c r="B2181" s="40"/>
      <c r="C2181" s="124"/>
      <c r="D2181" s="124"/>
      <c r="E2181" s="124"/>
      <c r="F2181" s="41"/>
      <c r="G2181" s="41"/>
      <c r="H2181" s="66"/>
      <c r="I2181" s="41"/>
      <c r="J2181" s="595"/>
      <c r="K2181" s="392"/>
      <c r="L2181" s="205"/>
      <c r="M2181" s="205"/>
      <c r="N2181" s="205"/>
      <c r="O2181" s="205"/>
      <c r="P2181" s="205"/>
      <c r="Q2181" s="205"/>
      <c r="R2181" s="205"/>
      <c r="S2181" s="205"/>
      <c r="T2181" s="205"/>
      <c r="U2181" s="205"/>
      <c r="V2181" s="205"/>
      <c r="W2181" s="205"/>
      <c r="X2181" s="205"/>
      <c r="Y2181" s="205"/>
      <c r="Z2181" s="205"/>
      <c r="AA2181" s="205"/>
      <c r="AB2181" s="205"/>
      <c r="AC2181" s="205"/>
      <c r="AD2181" s="205"/>
      <c r="AE2181" s="205"/>
      <c r="AF2181" s="205"/>
      <c r="AG2181" s="205"/>
      <c r="AH2181" s="205"/>
      <c r="AI2181" s="205"/>
      <c r="AJ2181" s="747"/>
    </row>
    <row r="2182" spans="1:36" ht="16.5" customHeight="1">
      <c r="A2182" s="40">
        <v>1</v>
      </c>
      <c r="B2182" s="40"/>
      <c r="C2182" s="124"/>
      <c r="D2182" s="124"/>
      <c r="E2182" s="124"/>
      <c r="F2182" s="451" t="s">
        <v>301</v>
      </c>
      <c r="G2182" s="41"/>
      <c r="H2182" s="66"/>
      <c r="I2182" s="596"/>
      <c r="J2182" s="597"/>
      <c r="K2182" s="453"/>
      <c r="L2182" s="454"/>
      <c r="M2182" s="454"/>
      <c r="N2182" s="454"/>
      <c r="O2182" s="454"/>
      <c r="P2182" s="454"/>
      <c r="Q2182" s="454"/>
      <c r="R2182" s="454"/>
      <c r="S2182" s="454"/>
      <c r="T2182" s="454"/>
      <c r="U2182" s="454"/>
      <c r="V2182" s="454"/>
      <c r="W2182" s="454"/>
      <c r="X2182" s="454"/>
      <c r="Y2182" s="454"/>
      <c r="Z2182" s="454"/>
      <c r="AA2182" s="454"/>
      <c r="AB2182" s="454"/>
      <c r="AC2182" s="454"/>
      <c r="AD2182" s="454"/>
      <c r="AE2182" s="454"/>
      <c r="AF2182" s="454"/>
      <c r="AG2182" s="454"/>
      <c r="AH2182" s="454"/>
      <c r="AI2182" s="454"/>
      <c r="AJ2182" s="769"/>
    </row>
    <row r="2183" spans="1:36" ht="16.5" customHeight="1">
      <c r="A2183" s="40"/>
      <c r="B2183" s="40">
        <v>1</v>
      </c>
      <c r="C2183" s="124"/>
      <c r="D2183" s="124"/>
      <c r="E2183" s="124"/>
      <c r="F2183" s="451"/>
      <c r="G2183" s="935" t="s">
        <v>28</v>
      </c>
      <c r="H2183" s="935"/>
      <c r="I2183" s="936"/>
      <c r="J2183" s="597"/>
      <c r="K2183" s="453"/>
      <c r="L2183" s="454"/>
      <c r="M2183" s="454"/>
      <c r="N2183" s="454"/>
      <c r="O2183" s="454"/>
      <c r="P2183" s="454"/>
      <c r="Q2183" s="454"/>
      <c r="R2183" s="454"/>
      <c r="S2183" s="454"/>
      <c r="T2183" s="454"/>
      <c r="U2183" s="454"/>
      <c r="V2183" s="454"/>
      <c r="W2183" s="454"/>
      <c r="X2183" s="454"/>
      <c r="Y2183" s="454"/>
      <c r="Z2183" s="454"/>
      <c r="AA2183" s="454"/>
      <c r="AB2183" s="454"/>
      <c r="AC2183" s="454"/>
      <c r="AD2183" s="454"/>
      <c r="AE2183" s="454"/>
      <c r="AF2183" s="454"/>
      <c r="AG2183" s="454"/>
      <c r="AH2183" s="454"/>
      <c r="AI2183" s="454"/>
      <c r="AJ2183" s="769"/>
    </row>
    <row r="2184" spans="1:36" ht="16.5" customHeight="1">
      <c r="A2184" s="40"/>
      <c r="B2184" s="40"/>
      <c r="C2184" s="124">
        <v>2</v>
      </c>
      <c r="D2184" s="124"/>
      <c r="E2184" s="124"/>
      <c r="F2184" s="451"/>
      <c r="G2184" s="41"/>
      <c r="H2184" s="162" t="s">
        <v>211</v>
      </c>
      <c r="I2184" s="596"/>
      <c r="J2184" s="597"/>
      <c r="K2184" s="453"/>
      <c r="L2184" s="454"/>
      <c r="M2184" s="454"/>
      <c r="N2184" s="454"/>
      <c r="O2184" s="454"/>
      <c r="P2184" s="454"/>
      <c r="Q2184" s="454"/>
      <c r="R2184" s="454"/>
      <c r="S2184" s="454"/>
      <c r="T2184" s="454"/>
      <c r="U2184" s="454"/>
      <c r="V2184" s="454"/>
      <c r="W2184" s="454"/>
      <c r="X2184" s="454"/>
      <c r="Y2184" s="454"/>
      <c r="Z2184" s="454"/>
      <c r="AA2184" s="454"/>
      <c r="AB2184" s="454"/>
      <c r="AC2184" s="454"/>
      <c r="AD2184" s="454"/>
      <c r="AE2184" s="454"/>
      <c r="AF2184" s="454"/>
      <c r="AG2184" s="454"/>
      <c r="AH2184" s="454"/>
      <c r="AI2184" s="454"/>
      <c r="AJ2184" s="769"/>
    </row>
    <row r="2185" spans="1:36" ht="16.5" customHeight="1">
      <c r="A2185" s="40"/>
      <c r="B2185" s="40"/>
      <c r="C2185" s="124"/>
      <c r="D2185" s="124">
        <v>8</v>
      </c>
      <c r="E2185" s="124" t="s">
        <v>199</v>
      </c>
      <c r="F2185" s="451"/>
      <c r="G2185" s="41"/>
      <c r="H2185" s="66"/>
      <c r="I2185" s="66" t="s">
        <v>212</v>
      </c>
      <c r="J2185" s="128"/>
      <c r="K2185" s="208">
        <v>18000000</v>
      </c>
      <c r="L2185" s="454">
        <f>SUM(J2185:K2185)</f>
        <v>18000000</v>
      </c>
      <c r="M2185" s="454">
        <v>1500000</v>
      </c>
      <c r="N2185" s="454"/>
      <c r="O2185" s="454"/>
      <c r="P2185" s="454"/>
      <c r="Q2185" s="454"/>
      <c r="R2185" s="454"/>
      <c r="S2185" s="217">
        <f t="shared" ref="S2185" si="2552">SUM(M2185:R2185)</f>
        <v>1500000</v>
      </c>
      <c r="T2185" s="217">
        <f t="shared" ref="T2185" si="2553">S2185+L2185</f>
        <v>19500000</v>
      </c>
      <c r="U2185" s="454"/>
      <c r="V2185" s="454"/>
      <c r="W2185" s="454"/>
      <c r="X2185" s="454"/>
      <c r="Y2185" s="454"/>
      <c r="Z2185" s="217">
        <f>SUM(U2185:Y2185)</f>
        <v>0</v>
      </c>
      <c r="AA2185" s="217">
        <f>Z2185+T2185</f>
        <v>19500000</v>
      </c>
      <c r="AB2185" s="454"/>
      <c r="AC2185" s="454"/>
      <c r="AD2185" s="454"/>
      <c r="AE2185" s="454"/>
      <c r="AF2185" s="454"/>
      <c r="AG2185" s="217">
        <f t="shared" ref="AG2185" si="2554">SUM(AB2185:AF2185)</f>
        <v>0</v>
      </c>
      <c r="AH2185" s="217">
        <f t="shared" ref="AH2185" si="2555">AG2185+AA2185</f>
        <v>19500000</v>
      </c>
      <c r="AI2185" s="217">
        <v>7500000</v>
      </c>
      <c r="AJ2185" s="764">
        <f>AI2185/AH2185*100</f>
        <v>38.461538461538467</v>
      </c>
    </row>
    <row r="2186" spans="1:36" ht="16.5" customHeight="1">
      <c r="A2186" s="40"/>
      <c r="B2186" s="40"/>
      <c r="C2186" s="124"/>
      <c r="D2186" s="124"/>
      <c r="E2186" s="124"/>
      <c r="F2186" s="41"/>
      <c r="G2186" s="41"/>
      <c r="H2186" s="66"/>
      <c r="I2186" s="66"/>
      <c r="J2186" s="452"/>
      <c r="K2186" s="453"/>
      <c r="L2186" s="454"/>
      <c r="M2186" s="454"/>
      <c r="N2186" s="454"/>
      <c r="O2186" s="454"/>
      <c r="P2186" s="454"/>
      <c r="Q2186" s="454"/>
      <c r="R2186" s="454"/>
      <c r="S2186" s="454"/>
      <c r="T2186" s="454"/>
      <c r="U2186" s="454"/>
      <c r="V2186" s="454"/>
      <c r="W2186" s="454"/>
      <c r="X2186" s="454"/>
      <c r="Y2186" s="454"/>
      <c r="Z2186" s="454"/>
      <c r="AA2186" s="454"/>
      <c r="AB2186" s="454"/>
      <c r="AC2186" s="454"/>
      <c r="AD2186" s="454"/>
      <c r="AE2186" s="454"/>
      <c r="AF2186" s="454"/>
      <c r="AG2186" s="454"/>
      <c r="AH2186" s="454"/>
      <c r="AI2186" s="454"/>
      <c r="AJ2186" s="769"/>
    </row>
    <row r="2187" spans="1:36" ht="14">
      <c r="A2187" s="40"/>
      <c r="B2187" s="40"/>
      <c r="C2187" s="124"/>
      <c r="D2187" s="124"/>
      <c r="E2187" s="124"/>
      <c r="F2187" s="65"/>
      <c r="G2187" s="65"/>
      <c r="H2187" s="65"/>
      <c r="I2187" s="164" t="s">
        <v>38</v>
      </c>
      <c r="J2187" s="169"/>
      <c r="K2187" s="211">
        <f>SUM(K2185:K2186)</f>
        <v>18000000</v>
      </c>
      <c r="L2187" s="221">
        <f>SUM(L2185:L2186)</f>
        <v>18000000</v>
      </c>
      <c r="M2187" s="221">
        <f t="shared" ref="M2187:T2187" si="2556">SUM(M2185:M2186)</f>
        <v>1500000</v>
      </c>
      <c r="N2187" s="221">
        <f t="shared" si="2556"/>
        <v>0</v>
      </c>
      <c r="O2187" s="221">
        <f t="shared" si="2556"/>
        <v>0</v>
      </c>
      <c r="P2187" s="221">
        <f t="shared" si="2556"/>
        <v>0</v>
      </c>
      <c r="Q2187" s="221">
        <f t="shared" si="2556"/>
        <v>0</v>
      </c>
      <c r="R2187" s="221">
        <f t="shared" si="2556"/>
        <v>0</v>
      </c>
      <c r="S2187" s="221">
        <f t="shared" si="2556"/>
        <v>1500000</v>
      </c>
      <c r="T2187" s="221">
        <f t="shared" si="2556"/>
        <v>19500000</v>
      </c>
      <c r="U2187" s="221"/>
      <c r="V2187" s="221"/>
      <c r="W2187" s="221"/>
      <c r="X2187" s="221"/>
      <c r="Y2187" s="221"/>
      <c r="Z2187" s="221">
        <f t="shared" ref="Z2187:AA2187" si="2557">SUM(Z2185:Z2186)</f>
        <v>0</v>
      </c>
      <c r="AA2187" s="221">
        <f t="shared" si="2557"/>
        <v>19500000</v>
      </c>
      <c r="AB2187" s="221"/>
      <c r="AC2187" s="221"/>
      <c r="AD2187" s="221"/>
      <c r="AE2187" s="221"/>
      <c r="AF2187" s="221"/>
      <c r="AG2187" s="221">
        <f t="shared" ref="AG2187:AI2187" si="2558">SUM(AG2185:AG2186)</f>
        <v>0</v>
      </c>
      <c r="AH2187" s="221">
        <f t="shared" si="2558"/>
        <v>19500000</v>
      </c>
      <c r="AI2187" s="221">
        <f t="shared" si="2558"/>
        <v>7500000</v>
      </c>
      <c r="AJ2187" s="788">
        <f>AI2187/AH2187*100</f>
        <v>38.461538461538467</v>
      </c>
    </row>
    <row r="2188" spans="1:36" ht="16.5" customHeight="1">
      <c r="A2188" s="40"/>
      <c r="B2188" s="40"/>
      <c r="C2188" s="124"/>
      <c r="D2188" s="124"/>
      <c r="E2188" s="124"/>
      <c r="F2188" s="66"/>
      <c r="G2188" s="66"/>
      <c r="H2188" s="66"/>
      <c r="I2188" s="41"/>
      <c r="J2188" s="598"/>
      <c r="K2188" s="599"/>
      <c r="L2188" s="678"/>
      <c r="M2188" s="678"/>
      <c r="N2188" s="678"/>
      <c r="O2188" s="678"/>
      <c r="P2188" s="678"/>
      <c r="Q2188" s="678"/>
      <c r="R2188" s="678"/>
      <c r="S2188" s="678"/>
      <c r="T2188" s="678"/>
      <c r="U2188" s="678"/>
      <c r="V2188" s="678"/>
      <c r="W2188" s="678"/>
      <c r="X2188" s="678"/>
      <c r="Y2188" s="678"/>
      <c r="Z2188" s="678"/>
      <c r="AA2188" s="678"/>
      <c r="AB2188" s="702"/>
      <c r="AC2188" s="702"/>
      <c r="AD2188" s="702"/>
      <c r="AE2188" s="702"/>
      <c r="AF2188" s="702"/>
      <c r="AG2188" s="702"/>
      <c r="AH2188" s="702"/>
      <c r="AI2188" s="702"/>
      <c r="AJ2188" s="780"/>
    </row>
    <row r="2189" spans="1:36" ht="16.5" customHeight="1">
      <c r="A2189" s="40"/>
      <c r="B2189" s="40">
        <v>2</v>
      </c>
      <c r="C2189" s="124"/>
      <c r="D2189" s="124"/>
      <c r="E2189" s="124"/>
      <c r="F2189" s="451"/>
      <c r="G2189" s="41" t="s">
        <v>49</v>
      </c>
      <c r="H2189" s="66"/>
      <c r="I2189" s="66"/>
      <c r="J2189" s="452"/>
      <c r="K2189" s="453"/>
      <c r="L2189" s="454"/>
      <c r="M2189" s="454"/>
      <c r="N2189" s="454"/>
      <c r="O2189" s="454"/>
      <c r="P2189" s="454"/>
      <c r="Q2189" s="454"/>
      <c r="R2189" s="454"/>
      <c r="S2189" s="454"/>
      <c r="T2189" s="454"/>
      <c r="U2189" s="454"/>
      <c r="V2189" s="454"/>
      <c r="W2189" s="454"/>
      <c r="X2189" s="454"/>
      <c r="Y2189" s="454"/>
      <c r="Z2189" s="454"/>
      <c r="AA2189" s="454"/>
      <c r="AB2189" s="454"/>
      <c r="AC2189" s="454"/>
      <c r="AD2189" s="454"/>
      <c r="AE2189" s="454"/>
      <c r="AF2189" s="454"/>
      <c r="AG2189" s="454"/>
      <c r="AH2189" s="454"/>
      <c r="AI2189" s="454"/>
      <c r="AJ2189" s="769"/>
    </row>
    <row r="2190" spans="1:36" ht="16.5" customHeight="1">
      <c r="A2190" s="40"/>
      <c r="B2190" s="40"/>
      <c r="C2190" s="124">
        <v>2</v>
      </c>
      <c r="D2190" s="124"/>
      <c r="E2190" s="124"/>
      <c r="F2190" s="451"/>
      <c r="G2190" s="41"/>
      <c r="H2190" s="162" t="s">
        <v>211</v>
      </c>
      <c r="I2190" s="66"/>
      <c r="J2190" s="452"/>
      <c r="K2190" s="453"/>
      <c r="L2190" s="454"/>
      <c r="M2190" s="454"/>
      <c r="N2190" s="454"/>
      <c r="O2190" s="454"/>
      <c r="P2190" s="454"/>
      <c r="Q2190" s="454"/>
      <c r="R2190" s="454"/>
      <c r="S2190" s="454"/>
      <c r="T2190" s="454"/>
      <c r="U2190" s="454"/>
      <c r="V2190" s="454"/>
      <c r="W2190" s="454"/>
      <c r="X2190" s="454"/>
      <c r="Y2190" s="454"/>
      <c r="Z2190" s="454"/>
      <c r="AA2190" s="454"/>
      <c r="AB2190" s="454"/>
      <c r="AC2190" s="454"/>
      <c r="AD2190" s="454"/>
      <c r="AE2190" s="454"/>
      <c r="AF2190" s="454"/>
      <c r="AG2190" s="454"/>
      <c r="AH2190" s="454"/>
      <c r="AI2190" s="454"/>
      <c r="AJ2190" s="769"/>
    </row>
    <row r="2191" spans="1:36" ht="16.5" customHeight="1">
      <c r="A2191" s="40"/>
      <c r="B2191" s="40"/>
      <c r="C2191" s="124"/>
      <c r="D2191" s="124">
        <v>8</v>
      </c>
      <c r="E2191" s="124" t="s">
        <v>198</v>
      </c>
      <c r="F2191" s="451"/>
      <c r="G2191" s="41"/>
      <c r="H2191" s="66"/>
      <c r="I2191" s="66" t="s">
        <v>212</v>
      </c>
      <c r="J2191" s="128"/>
      <c r="K2191" s="208">
        <v>7500000</v>
      </c>
      <c r="L2191" s="454">
        <f>SUM(J2191:K2191)</f>
        <v>7500000</v>
      </c>
      <c r="M2191" s="454">
        <v>5251613</v>
      </c>
      <c r="N2191" s="454"/>
      <c r="O2191" s="454"/>
      <c r="P2191" s="454"/>
      <c r="Q2191" s="454"/>
      <c r="R2191" s="454"/>
      <c r="S2191" s="217">
        <f t="shared" ref="S2191" si="2559">SUM(M2191:R2191)</f>
        <v>5251613</v>
      </c>
      <c r="T2191" s="217">
        <f t="shared" ref="T2191" si="2560">S2191+L2191</f>
        <v>12751613</v>
      </c>
      <c r="U2191" s="454"/>
      <c r="V2191" s="454"/>
      <c r="W2191" s="454"/>
      <c r="X2191" s="454"/>
      <c r="Y2191" s="454"/>
      <c r="Z2191" s="217">
        <f>SUM(U2191:Y2191)</f>
        <v>0</v>
      </c>
      <c r="AA2191" s="217">
        <f>Z2191+T2191</f>
        <v>12751613</v>
      </c>
      <c r="AB2191" s="454"/>
      <c r="AC2191" s="454"/>
      <c r="AD2191" s="454"/>
      <c r="AE2191" s="454"/>
      <c r="AF2191" s="454"/>
      <c r="AG2191" s="217">
        <f t="shared" ref="AG2191" si="2561">SUM(AB2191:AF2191)</f>
        <v>0</v>
      </c>
      <c r="AH2191" s="217">
        <f t="shared" ref="AH2191" si="2562">AG2191+AA2191</f>
        <v>12751613</v>
      </c>
      <c r="AI2191" s="217">
        <v>6810000</v>
      </c>
      <c r="AJ2191" s="764">
        <f>AI2191/AH2191*100</f>
        <v>53.405008448735067</v>
      </c>
    </row>
    <row r="2192" spans="1:36" ht="16.5" customHeight="1">
      <c r="A2192" s="40"/>
      <c r="B2192" s="40"/>
      <c r="C2192" s="124"/>
      <c r="D2192" s="124"/>
      <c r="E2192" s="124"/>
      <c r="F2192" s="41"/>
      <c r="G2192" s="41"/>
      <c r="H2192" s="66"/>
      <c r="I2192" s="66"/>
      <c r="J2192" s="452"/>
      <c r="K2192" s="453"/>
      <c r="L2192" s="454"/>
      <c r="M2192" s="454"/>
      <c r="N2192" s="454"/>
      <c r="O2192" s="454"/>
      <c r="P2192" s="454"/>
      <c r="Q2192" s="454"/>
      <c r="R2192" s="454"/>
      <c r="S2192" s="454"/>
      <c r="T2192" s="454"/>
      <c r="U2192" s="454"/>
      <c r="V2192" s="454"/>
      <c r="W2192" s="454"/>
      <c r="X2192" s="454"/>
      <c r="Y2192" s="454"/>
      <c r="Z2192" s="454"/>
      <c r="AA2192" s="454"/>
      <c r="AB2192" s="454"/>
      <c r="AC2192" s="454"/>
      <c r="AD2192" s="454"/>
      <c r="AE2192" s="454"/>
      <c r="AF2192" s="454"/>
      <c r="AG2192" s="454"/>
      <c r="AH2192" s="454"/>
      <c r="AI2192" s="454"/>
      <c r="AJ2192" s="769"/>
    </row>
    <row r="2193" spans="1:36" ht="16.5" customHeight="1">
      <c r="A2193" s="40"/>
      <c r="B2193" s="40"/>
      <c r="C2193" s="124"/>
      <c r="D2193" s="124"/>
      <c r="E2193" s="124"/>
      <c r="F2193" s="65"/>
      <c r="G2193" s="65"/>
      <c r="H2193" s="65"/>
      <c r="I2193" s="164" t="s">
        <v>38</v>
      </c>
      <c r="J2193" s="169"/>
      <c r="K2193" s="211">
        <f>SUM(K2191:K2192)</f>
        <v>7500000</v>
      </c>
      <c r="L2193" s="221">
        <f>SUM(L2191:L2192)</f>
        <v>7500000</v>
      </c>
      <c r="M2193" s="221">
        <f t="shared" ref="M2193:T2193" si="2563">SUM(M2191:M2192)</f>
        <v>5251613</v>
      </c>
      <c r="N2193" s="221">
        <f t="shared" si="2563"/>
        <v>0</v>
      </c>
      <c r="O2193" s="221">
        <f t="shared" si="2563"/>
        <v>0</v>
      </c>
      <c r="P2193" s="221">
        <f t="shared" si="2563"/>
        <v>0</v>
      </c>
      <c r="Q2193" s="221">
        <f t="shared" si="2563"/>
        <v>0</v>
      </c>
      <c r="R2193" s="221">
        <f t="shared" si="2563"/>
        <v>0</v>
      </c>
      <c r="S2193" s="221">
        <f t="shared" si="2563"/>
        <v>5251613</v>
      </c>
      <c r="T2193" s="221">
        <f t="shared" si="2563"/>
        <v>12751613</v>
      </c>
      <c r="U2193" s="221"/>
      <c r="V2193" s="221"/>
      <c r="W2193" s="221"/>
      <c r="X2193" s="221"/>
      <c r="Y2193" s="221"/>
      <c r="Z2193" s="221">
        <f t="shared" ref="Z2193:AA2193" si="2564">SUM(Z2191:Z2192)</f>
        <v>0</v>
      </c>
      <c r="AA2193" s="221">
        <f t="shared" si="2564"/>
        <v>12751613</v>
      </c>
      <c r="AB2193" s="221"/>
      <c r="AC2193" s="221"/>
      <c r="AD2193" s="221"/>
      <c r="AE2193" s="221"/>
      <c r="AF2193" s="221"/>
      <c r="AG2193" s="221">
        <f t="shared" ref="AG2193:AI2193" si="2565">SUM(AG2191:AG2192)</f>
        <v>0</v>
      </c>
      <c r="AH2193" s="221">
        <f t="shared" si="2565"/>
        <v>12751613</v>
      </c>
      <c r="AI2193" s="221">
        <f t="shared" si="2565"/>
        <v>6810000</v>
      </c>
      <c r="AJ2193" s="788">
        <f>AI2193/AH2193*100</f>
        <v>53.405008448735067</v>
      </c>
    </row>
    <row r="2194" spans="1:36" ht="16.5" customHeight="1">
      <c r="A2194" s="40"/>
      <c r="B2194" s="40"/>
      <c r="C2194" s="124"/>
      <c r="D2194" s="124"/>
      <c r="E2194" s="124"/>
      <c r="F2194" s="66"/>
      <c r="G2194" s="66"/>
      <c r="H2194" s="66"/>
      <c r="I2194" s="41"/>
      <c r="J2194" s="598"/>
      <c r="K2194" s="599"/>
      <c r="L2194" s="678"/>
      <c r="M2194" s="678"/>
      <c r="N2194" s="678"/>
      <c r="O2194" s="678"/>
      <c r="P2194" s="678"/>
      <c r="Q2194" s="678"/>
      <c r="R2194" s="678"/>
      <c r="S2194" s="678"/>
      <c r="T2194" s="678"/>
      <c r="U2194" s="678"/>
      <c r="V2194" s="678"/>
      <c r="W2194" s="678"/>
      <c r="X2194" s="678"/>
      <c r="Y2194" s="678"/>
      <c r="Z2194" s="678"/>
      <c r="AA2194" s="678"/>
      <c r="AB2194" s="702"/>
      <c r="AC2194" s="702"/>
      <c r="AD2194" s="702"/>
      <c r="AE2194" s="702"/>
      <c r="AF2194" s="702"/>
      <c r="AG2194" s="702"/>
      <c r="AH2194" s="702"/>
      <c r="AI2194" s="702"/>
      <c r="AJ2194" s="780"/>
    </row>
    <row r="2195" spans="1:36" ht="16.5" customHeight="1">
      <c r="A2195" s="40"/>
      <c r="B2195" s="40">
        <v>3</v>
      </c>
      <c r="C2195" s="124"/>
      <c r="D2195" s="124"/>
      <c r="E2195" s="124"/>
      <c r="F2195" s="451"/>
      <c r="G2195" s="41" t="s">
        <v>611</v>
      </c>
      <c r="H2195" s="66"/>
      <c r="I2195" s="66"/>
      <c r="J2195" s="452"/>
      <c r="K2195" s="453"/>
      <c r="L2195" s="454"/>
      <c r="M2195" s="454"/>
      <c r="N2195" s="454"/>
      <c r="O2195" s="454"/>
      <c r="P2195" s="454"/>
      <c r="Q2195" s="454"/>
      <c r="R2195" s="454"/>
      <c r="S2195" s="454"/>
      <c r="T2195" s="454"/>
      <c r="U2195" s="454"/>
      <c r="V2195" s="454"/>
      <c r="W2195" s="454"/>
      <c r="X2195" s="454"/>
      <c r="Y2195" s="454"/>
      <c r="Z2195" s="454"/>
      <c r="AA2195" s="454"/>
      <c r="AB2195" s="454"/>
      <c r="AC2195" s="454"/>
      <c r="AD2195" s="454"/>
      <c r="AE2195" s="454"/>
      <c r="AF2195" s="454"/>
      <c r="AG2195" s="454"/>
      <c r="AH2195" s="454"/>
      <c r="AI2195" s="454"/>
      <c r="AJ2195" s="769"/>
    </row>
    <row r="2196" spans="1:36" ht="16.5" customHeight="1">
      <c r="A2196" s="40"/>
      <c r="B2196" s="40"/>
      <c r="C2196" s="124">
        <v>2</v>
      </c>
      <c r="D2196" s="124"/>
      <c r="E2196" s="124"/>
      <c r="F2196" s="451"/>
      <c r="G2196" s="41"/>
      <c r="H2196" s="162" t="s">
        <v>211</v>
      </c>
      <c r="I2196" s="66"/>
      <c r="J2196" s="452"/>
      <c r="K2196" s="453"/>
      <c r="L2196" s="454"/>
      <c r="M2196" s="454"/>
      <c r="N2196" s="454"/>
      <c r="O2196" s="454"/>
      <c r="P2196" s="454"/>
      <c r="Q2196" s="454"/>
      <c r="R2196" s="454"/>
      <c r="S2196" s="454"/>
      <c r="T2196" s="454"/>
      <c r="U2196" s="454"/>
      <c r="V2196" s="454"/>
      <c r="W2196" s="454"/>
      <c r="X2196" s="454"/>
      <c r="Y2196" s="454"/>
      <c r="Z2196" s="454"/>
      <c r="AA2196" s="454"/>
      <c r="AB2196" s="454"/>
      <c r="AC2196" s="454"/>
      <c r="AD2196" s="454"/>
      <c r="AE2196" s="454"/>
      <c r="AF2196" s="454"/>
      <c r="AG2196" s="454"/>
      <c r="AH2196" s="454"/>
      <c r="AI2196" s="454"/>
      <c r="AJ2196" s="769"/>
    </row>
    <row r="2197" spans="1:36" ht="16.5" customHeight="1">
      <c r="A2197" s="40"/>
      <c r="B2197" s="40"/>
      <c r="C2197" s="124"/>
      <c r="D2197" s="124">
        <v>8</v>
      </c>
      <c r="E2197" s="124" t="s">
        <v>198</v>
      </c>
      <c r="F2197" s="451"/>
      <c r="G2197" s="41"/>
      <c r="H2197" s="66"/>
      <c r="I2197" s="66" t="s">
        <v>212</v>
      </c>
      <c r="J2197" s="128"/>
      <c r="K2197" s="208">
        <v>7500000</v>
      </c>
      <c r="L2197" s="454"/>
      <c r="M2197" s="454"/>
      <c r="N2197" s="454"/>
      <c r="O2197" s="454">
        <v>92000000</v>
      </c>
      <c r="P2197" s="454"/>
      <c r="Q2197" s="454"/>
      <c r="R2197" s="454"/>
      <c r="S2197" s="217">
        <f t="shared" ref="S2197" si="2566">SUM(M2197:R2197)</f>
        <v>92000000</v>
      </c>
      <c r="T2197" s="217">
        <f t="shared" ref="T2197" si="2567">S2197+L2197</f>
        <v>92000000</v>
      </c>
      <c r="U2197" s="454"/>
      <c r="V2197" s="454"/>
      <c r="W2197" s="454"/>
      <c r="X2197" s="454"/>
      <c r="Y2197" s="454"/>
      <c r="Z2197" s="217">
        <f>SUM(U2197:Y2197)</f>
        <v>0</v>
      </c>
      <c r="AA2197" s="217">
        <f>Z2197+T2197</f>
        <v>92000000</v>
      </c>
      <c r="AB2197" s="454"/>
      <c r="AC2197" s="454"/>
      <c r="AD2197" s="454"/>
      <c r="AE2197" s="454"/>
      <c r="AF2197" s="454"/>
      <c r="AG2197" s="217">
        <f t="shared" ref="AG2197" si="2568">SUM(AB2197:AF2197)</f>
        <v>0</v>
      </c>
      <c r="AH2197" s="217">
        <f t="shared" ref="AH2197" si="2569">AG2197+AA2197</f>
        <v>92000000</v>
      </c>
      <c r="AI2197" s="217">
        <v>92000000</v>
      </c>
      <c r="AJ2197" s="764">
        <f>AI2197/AH2197*100</f>
        <v>100</v>
      </c>
    </row>
    <row r="2198" spans="1:36" ht="16.5" customHeight="1">
      <c r="A2198" s="40"/>
      <c r="B2198" s="40"/>
      <c r="C2198" s="124"/>
      <c r="D2198" s="124"/>
      <c r="E2198" s="124"/>
      <c r="F2198" s="41"/>
      <c r="G2198" s="41"/>
      <c r="H2198" s="66"/>
      <c r="I2198" s="66"/>
      <c r="J2198" s="452"/>
      <c r="K2198" s="453"/>
      <c r="L2198" s="454"/>
      <c r="M2198" s="454"/>
      <c r="N2198" s="454"/>
      <c r="O2198" s="454"/>
      <c r="P2198" s="454"/>
      <c r="Q2198" s="454"/>
      <c r="R2198" s="454"/>
      <c r="S2198" s="454"/>
      <c r="T2198" s="454"/>
      <c r="U2198" s="454"/>
      <c r="V2198" s="454"/>
      <c r="W2198" s="454"/>
      <c r="X2198" s="454"/>
      <c r="Y2198" s="454"/>
      <c r="Z2198" s="454"/>
      <c r="AA2198" s="454"/>
      <c r="AB2198" s="454"/>
      <c r="AC2198" s="454"/>
      <c r="AD2198" s="454"/>
      <c r="AE2198" s="454"/>
      <c r="AF2198" s="454"/>
      <c r="AG2198" s="454"/>
      <c r="AH2198" s="454"/>
      <c r="AI2198" s="454"/>
      <c r="AJ2198" s="769"/>
    </row>
    <row r="2199" spans="1:36" ht="16.5" customHeight="1">
      <c r="A2199" s="40"/>
      <c r="B2199" s="40"/>
      <c r="C2199" s="124"/>
      <c r="D2199" s="124"/>
      <c r="E2199" s="124"/>
      <c r="F2199" s="65"/>
      <c r="G2199" s="65"/>
      <c r="H2199" s="65"/>
      <c r="I2199" s="164" t="s">
        <v>38</v>
      </c>
      <c r="J2199" s="169"/>
      <c r="K2199" s="211">
        <f>SUM(K2197:K2198)</f>
        <v>7500000</v>
      </c>
      <c r="L2199" s="221">
        <f>SUM(L2197:L2198)</f>
        <v>0</v>
      </c>
      <c r="M2199" s="221">
        <f t="shared" ref="M2199:T2199" si="2570">SUM(M2197:M2198)</f>
        <v>0</v>
      </c>
      <c r="N2199" s="221">
        <f t="shared" si="2570"/>
        <v>0</v>
      </c>
      <c r="O2199" s="221">
        <f t="shared" si="2570"/>
        <v>92000000</v>
      </c>
      <c r="P2199" s="221">
        <f t="shared" si="2570"/>
        <v>0</v>
      </c>
      <c r="Q2199" s="221">
        <f t="shared" si="2570"/>
        <v>0</v>
      </c>
      <c r="R2199" s="221">
        <f t="shared" si="2570"/>
        <v>0</v>
      </c>
      <c r="S2199" s="221">
        <f t="shared" si="2570"/>
        <v>92000000</v>
      </c>
      <c r="T2199" s="221">
        <f t="shared" si="2570"/>
        <v>92000000</v>
      </c>
      <c r="U2199" s="221"/>
      <c r="V2199" s="221"/>
      <c r="W2199" s="221"/>
      <c r="X2199" s="221"/>
      <c r="Y2199" s="221"/>
      <c r="Z2199" s="221">
        <f t="shared" ref="Z2199:AA2199" si="2571">SUM(Z2197:Z2198)</f>
        <v>0</v>
      </c>
      <c r="AA2199" s="221">
        <f t="shared" si="2571"/>
        <v>92000000</v>
      </c>
      <c r="AB2199" s="221"/>
      <c r="AC2199" s="221"/>
      <c r="AD2199" s="221"/>
      <c r="AE2199" s="221"/>
      <c r="AF2199" s="221"/>
      <c r="AG2199" s="221">
        <f t="shared" ref="AG2199:AH2199" si="2572">SUM(AG2197:AG2198)</f>
        <v>0</v>
      </c>
      <c r="AH2199" s="221">
        <f t="shared" si="2572"/>
        <v>92000000</v>
      </c>
      <c r="AI2199" s="221">
        <f t="shared" ref="AI2199" si="2573">SUM(AI2197:AI2198)</f>
        <v>92000000</v>
      </c>
      <c r="AJ2199" s="788">
        <f>AI2199/AH2199*100</f>
        <v>100</v>
      </c>
    </row>
    <row r="2200" spans="1:36" ht="16.5" customHeight="1">
      <c r="A2200" s="40"/>
      <c r="B2200" s="40"/>
      <c r="C2200" s="124"/>
      <c r="D2200" s="124"/>
      <c r="E2200" s="124"/>
      <c r="F2200" s="66"/>
      <c r="G2200" s="66"/>
      <c r="H2200" s="66"/>
      <c r="I2200" s="506"/>
      <c r="J2200" s="600"/>
      <c r="K2200" s="599"/>
      <c r="L2200" s="678"/>
      <c r="M2200" s="678"/>
      <c r="N2200" s="678"/>
      <c r="O2200" s="678"/>
      <c r="P2200" s="678"/>
      <c r="Q2200" s="678"/>
      <c r="R2200" s="678"/>
      <c r="S2200" s="678"/>
      <c r="T2200" s="678"/>
      <c r="U2200" s="678"/>
      <c r="V2200" s="678"/>
      <c r="W2200" s="678"/>
      <c r="X2200" s="678"/>
      <c r="Y2200" s="678"/>
      <c r="Z2200" s="678"/>
      <c r="AA2200" s="678"/>
      <c r="AB2200" s="702"/>
      <c r="AC2200" s="702"/>
      <c r="AD2200" s="702"/>
      <c r="AE2200" s="702"/>
      <c r="AF2200" s="702"/>
      <c r="AG2200" s="702"/>
      <c r="AH2200" s="702"/>
      <c r="AI2200" s="760"/>
      <c r="AJ2200" s="780"/>
    </row>
    <row r="2201" spans="1:36" ht="16.5" customHeight="1">
      <c r="A2201" s="40"/>
      <c r="B2201" s="40"/>
      <c r="C2201" s="124"/>
      <c r="D2201" s="124"/>
      <c r="E2201" s="124"/>
      <c r="F2201" s="166"/>
      <c r="G2201" s="166"/>
      <c r="H2201" s="464"/>
      <c r="I2201" s="166" t="s">
        <v>37</v>
      </c>
      <c r="J2201" s="460"/>
      <c r="K2201" s="461">
        <f t="shared" ref="K2201:M2201" si="2574">SUM(K2185:K2193)/2</f>
        <v>25500000</v>
      </c>
      <c r="L2201" s="460">
        <f t="shared" si="2574"/>
        <v>25500000</v>
      </c>
      <c r="M2201" s="460">
        <f t="shared" si="2574"/>
        <v>6751613</v>
      </c>
      <c r="N2201" s="460">
        <f t="shared" ref="N2201:R2201" si="2575">SUM(N2185:N2199)/2</f>
        <v>0</v>
      </c>
      <c r="O2201" s="460">
        <f t="shared" si="2575"/>
        <v>92000000</v>
      </c>
      <c r="P2201" s="460">
        <f t="shared" si="2575"/>
        <v>0</v>
      </c>
      <c r="Q2201" s="460">
        <f t="shared" si="2575"/>
        <v>0</v>
      </c>
      <c r="R2201" s="460">
        <f t="shared" si="2575"/>
        <v>0</v>
      </c>
      <c r="S2201" s="460">
        <f>SUM(S2185:S2199)/2</f>
        <v>98751613</v>
      </c>
      <c r="T2201" s="460">
        <f t="shared" ref="T2201" si="2576">SUM(T2185:T2199)/2</f>
        <v>124251613</v>
      </c>
      <c r="U2201" s="460"/>
      <c r="V2201" s="460"/>
      <c r="W2201" s="460"/>
      <c r="X2201" s="460"/>
      <c r="Y2201" s="460"/>
      <c r="Z2201" s="460">
        <f>SUM(Z2185:Z2199)/2</f>
        <v>0</v>
      </c>
      <c r="AA2201" s="460">
        <f t="shared" ref="AA2201" si="2577">SUM(AA2185:AA2199)/2</f>
        <v>124251613</v>
      </c>
      <c r="AB2201" s="460"/>
      <c r="AC2201" s="460"/>
      <c r="AD2201" s="460"/>
      <c r="AE2201" s="460"/>
      <c r="AF2201" s="460"/>
      <c r="AG2201" s="460">
        <f>SUM(AG2185:AG2199)/2</f>
        <v>0</v>
      </c>
      <c r="AH2201" s="460">
        <f t="shared" ref="AH2201:AI2201" si="2578">SUM(AH2185:AH2199)/2</f>
        <v>124251613</v>
      </c>
      <c r="AI2201" s="460">
        <f t="shared" si="2578"/>
        <v>106310000</v>
      </c>
      <c r="AJ2201" s="776">
        <f>AI2201/AH2201*100</f>
        <v>85.560257475289276</v>
      </c>
    </row>
    <row r="2202" spans="1:36" s="45" customFormat="1" ht="14">
      <c r="A2202" s="103"/>
      <c r="B2202" s="103"/>
      <c r="C2202" s="104"/>
      <c r="D2202" s="104"/>
      <c r="E2202" s="104"/>
      <c r="F2202" s="24"/>
      <c r="G2202" s="25"/>
      <c r="H2202" s="25"/>
      <c r="I2202" s="25"/>
      <c r="J2202" s="46"/>
      <c r="K2202" s="159"/>
      <c r="L2202" s="157"/>
      <c r="M2202" s="157"/>
      <c r="N2202" s="157"/>
      <c r="O2202" s="157"/>
      <c r="P2202" s="157"/>
      <c r="Q2202" s="157"/>
      <c r="R2202" s="157"/>
      <c r="S2202" s="157"/>
      <c r="T2202" s="157"/>
      <c r="U2202" s="157"/>
      <c r="V2202" s="157"/>
      <c r="W2202" s="157"/>
      <c r="X2202" s="157"/>
      <c r="Y2202" s="157"/>
      <c r="Z2202" s="157"/>
      <c r="AA2202" s="157"/>
      <c r="AB2202" s="157"/>
      <c r="AC2202" s="157"/>
      <c r="AD2202" s="157"/>
      <c r="AE2202" s="157"/>
      <c r="AF2202" s="157"/>
      <c r="AG2202" s="157"/>
      <c r="AH2202" s="157"/>
      <c r="AI2202" s="157"/>
      <c r="AJ2202" s="749"/>
    </row>
    <row r="2203" spans="1:36" s="45" customFormat="1" ht="14">
      <c r="A2203" s="665"/>
      <c r="B2203" s="666"/>
      <c r="C2203" s="301"/>
      <c r="D2203" s="301"/>
      <c r="E2203" s="301"/>
      <c r="F2203" s="877" t="s">
        <v>200</v>
      </c>
      <c r="G2203" s="877"/>
      <c r="H2203" s="877"/>
      <c r="I2203" s="878"/>
      <c r="J2203" s="51"/>
      <c r="K2203" s="207">
        <f t="shared" ref="K2203:T2203" si="2579">K2185</f>
        <v>18000000</v>
      </c>
      <c r="L2203" s="51">
        <f t="shared" si="2579"/>
        <v>18000000</v>
      </c>
      <c r="M2203" s="51">
        <f t="shared" si="2579"/>
        <v>1500000</v>
      </c>
      <c r="N2203" s="51">
        <f t="shared" si="2579"/>
        <v>0</v>
      </c>
      <c r="O2203" s="51">
        <f t="shared" si="2579"/>
        <v>0</v>
      </c>
      <c r="P2203" s="51">
        <f t="shared" si="2579"/>
        <v>0</v>
      </c>
      <c r="Q2203" s="51">
        <f t="shared" si="2579"/>
        <v>0</v>
      </c>
      <c r="R2203" s="51">
        <f t="shared" si="2579"/>
        <v>0</v>
      </c>
      <c r="S2203" s="51">
        <f t="shared" si="2579"/>
        <v>1500000</v>
      </c>
      <c r="T2203" s="51">
        <f t="shared" si="2579"/>
        <v>19500000</v>
      </c>
      <c r="U2203" s="51"/>
      <c r="V2203" s="51"/>
      <c r="W2203" s="51"/>
      <c r="X2203" s="51"/>
      <c r="Y2203" s="51"/>
      <c r="Z2203" s="51">
        <f t="shared" ref="Z2203:AA2203" si="2580">Z2185</f>
        <v>0</v>
      </c>
      <c r="AA2203" s="51">
        <f t="shared" si="2580"/>
        <v>19500000</v>
      </c>
      <c r="AB2203" s="51"/>
      <c r="AC2203" s="51"/>
      <c r="AD2203" s="51"/>
      <c r="AE2203" s="51"/>
      <c r="AF2203" s="51"/>
      <c r="AG2203" s="51">
        <f t="shared" ref="AG2203:AH2203" si="2581">AG2185</f>
        <v>0</v>
      </c>
      <c r="AH2203" s="51">
        <f t="shared" si="2581"/>
        <v>19500000</v>
      </c>
      <c r="AI2203" s="51">
        <f t="shared" ref="AI2203" si="2582">AI2185</f>
        <v>7500000</v>
      </c>
      <c r="AJ2203" s="737">
        <f>AI2203/AH2203*100</f>
        <v>38.461538461538467</v>
      </c>
    </row>
    <row r="2204" spans="1:36" s="45" customFormat="1" ht="14">
      <c r="A2204" s="103"/>
      <c r="B2204" s="103"/>
      <c r="C2204" s="104"/>
      <c r="D2204" s="104"/>
      <c r="E2204" s="104"/>
      <c r="F2204" s="24"/>
      <c r="G2204" s="25"/>
      <c r="H2204" s="25"/>
      <c r="I2204" s="25"/>
      <c r="J2204" s="46"/>
      <c r="K2204" s="159"/>
      <c r="L2204" s="157"/>
      <c r="M2204" s="157"/>
      <c r="N2204" s="157"/>
      <c r="O2204" s="157"/>
      <c r="P2204" s="157"/>
      <c r="Q2204" s="157"/>
      <c r="R2204" s="157"/>
      <c r="S2204" s="157"/>
      <c r="T2204" s="157"/>
      <c r="U2204" s="157"/>
      <c r="V2204" s="157"/>
      <c r="W2204" s="157"/>
      <c r="X2204" s="157"/>
      <c r="Y2204" s="157"/>
      <c r="Z2204" s="157"/>
      <c r="AA2204" s="157"/>
      <c r="AB2204" s="157"/>
      <c r="AC2204" s="157"/>
      <c r="AD2204" s="157"/>
      <c r="AE2204" s="157"/>
      <c r="AF2204" s="157"/>
      <c r="AG2204" s="157"/>
      <c r="AH2204" s="157"/>
      <c r="AI2204" s="157"/>
      <c r="AJ2204" s="749"/>
    </row>
    <row r="2205" spans="1:36" s="45" customFormat="1" ht="14">
      <c r="A2205" s="665"/>
      <c r="B2205" s="666"/>
      <c r="C2205" s="301"/>
      <c r="D2205" s="301"/>
      <c r="E2205" s="301"/>
      <c r="F2205" s="877" t="s">
        <v>201</v>
      </c>
      <c r="G2205" s="877"/>
      <c r="H2205" s="877"/>
      <c r="I2205" s="878" t="s">
        <v>197</v>
      </c>
      <c r="J2205" s="51"/>
      <c r="K2205" s="207">
        <f>K2191</f>
        <v>7500000</v>
      </c>
      <c r="L2205" s="51">
        <f>L2191</f>
        <v>7500000</v>
      </c>
      <c r="M2205" s="51">
        <f>M2191+M2197</f>
        <v>5251613</v>
      </c>
      <c r="N2205" s="51">
        <f t="shared" ref="N2205:T2205" si="2583">N2191+N2197</f>
        <v>0</v>
      </c>
      <c r="O2205" s="51">
        <f t="shared" si="2583"/>
        <v>92000000</v>
      </c>
      <c r="P2205" s="51">
        <f t="shared" si="2583"/>
        <v>0</v>
      </c>
      <c r="Q2205" s="51">
        <f t="shared" si="2583"/>
        <v>0</v>
      </c>
      <c r="R2205" s="51">
        <f t="shared" si="2583"/>
        <v>0</v>
      </c>
      <c r="S2205" s="51">
        <f t="shared" si="2583"/>
        <v>97251613</v>
      </c>
      <c r="T2205" s="51">
        <f t="shared" si="2583"/>
        <v>104751613</v>
      </c>
      <c r="U2205" s="51"/>
      <c r="V2205" s="51"/>
      <c r="W2205" s="51"/>
      <c r="X2205" s="51"/>
      <c r="Y2205" s="51"/>
      <c r="Z2205" s="51">
        <f t="shared" ref="Z2205:AA2205" si="2584">Z2191+Z2197</f>
        <v>0</v>
      </c>
      <c r="AA2205" s="51">
        <f t="shared" si="2584"/>
        <v>104751613</v>
      </c>
      <c r="AB2205" s="51"/>
      <c r="AC2205" s="51"/>
      <c r="AD2205" s="51"/>
      <c r="AE2205" s="51"/>
      <c r="AF2205" s="51"/>
      <c r="AG2205" s="51">
        <f t="shared" ref="AG2205:AH2205" si="2585">AG2191+AG2197</f>
        <v>0</v>
      </c>
      <c r="AH2205" s="51">
        <f t="shared" si="2585"/>
        <v>104751613</v>
      </c>
      <c r="AI2205" s="51">
        <f t="shared" ref="AI2205" si="2586">AI2191+AI2197</f>
        <v>98810000</v>
      </c>
      <c r="AJ2205" s="737">
        <f>AI2205/AH2205*100</f>
        <v>94.327903093960003</v>
      </c>
    </row>
    <row r="2206" spans="1:36" ht="14.5" thickBot="1">
      <c r="A2206" s="40"/>
      <c r="B2206" s="40"/>
      <c r="C2206" s="124"/>
      <c r="D2206" s="124"/>
      <c r="E2206" s="124"/>
      <c r="F2206" s="451"/>
      <c r="G2206" s="41"/>
      <c r="H2206" s="66"/>
      <c r="I2206" s="66"/>
      <c r="J2206" s="601"/>
      <c r="K2206" s="453"/>
      <c r="L2206" s="454"/>
      <c r="M2206" s="454"/>
      <c r="N2206" s="454"/>
      <c r="O2206" s="454"/>
      <c r="P2206" s="454"/>
      <c r="Q2206" s="454"/>
      <c r="R2206" s="454"/>
      <c r="S2206" s="454"/>
      <c r="T2206" s="454"/>
      <c r="U2206" s="454"/>
      <c r="V2206" s="454"/>
      <c r="W2206" s="454"/>
      <c r="X2206" s="454"/>
      <c r="Y2206" s="454"/>
      <c r="Z2206" s="454"/>
      <c r="AA2206" s="454"/>
      <c r="AB2206" s="454"/>
      <c r="AC2206" s="454"/>
      <c r="AD2206" s="454"/>
      <c r="AE2206" s="454"/>
      <c r="AF2206" s="454"/>
      <c r="AG2206" s="454"/>
      <c r="AH2206" s="454"/>
      <c r="AI2206" s="454"/>
      <c r="AJ2206" s="769"/>
    </row>
    <row r="2207" spans="1:36" ht="14.5" thickBot="1">
      <c r="A2207" s="589"/>
      <c r="B2207" s="675"/>
      <c r="C2207" s="590"/>
      <c r="D2207" s="590"/>
      <c r="E2207" s="590"/>
      <c r="F2207" s="591"/>
      <c r="G2207" s="583"/>
      <c r="H2207" s="591"/>
      <c r="I2207" s="586" t="s">
        <v>188</v>
      </c>
      <c r="J2207" s="592"/>
      <c r="K2207" s="593">
        <f>K2203+K2205</f>
        <v>25500000</v>
      </c>
      <c r="L2207" s="594">
        <f>L2203+L2205</f>
        <v>25500000</v>
      </c>
      <c r="M2207" s="594">
        <f>M2203+M2205</f>
        <v>6751613</v>
      </c>
      <c r="N2207" s="594">
        <f t="shared" ref="N2207:T2207" si="2587">N2203+N2205</f>
        <v>0</v>
      </c>
      <c r="O2207" s="594">
        <f t="shared" si="2587"/>
        <v>92000000</v>
      </c>
      <c r="P2207" s="594">
        <f t="shared" si="2587"/>
        <v>0</v>
      </c>
      <c r="Q2207" s="594">
        <f t="shared" si="2587"/>
        <v>0</v>
      </c>
      <c r="R2207" s="594">
        <f t="shared" si="2587"/>
        <v>0</v>
      </c>
      <c r="S2207" s="594">
        <f t="shared" si="2587"/>
        <v>98751613</v>
      </c>
      <c r="T2207" s="594">
        <f t="shared" si="2587"/>
        <v>124251613</v>
      </c>
      <c r="U2207" s="594"/>
      <c r="V2207" s="594"/>
      <c r="W2207" s="594"/>
      <c r="X2207" s="594"/>
      <c r="Y2207" s="594"/>
      <c r="Z2207" s="594">
        <f t="shared" ref="Z2207:AA2207" si="2588">Z2203+Z2205</f>
        <v>0</v>
      </c>
      <c r="AA2207" s="594">
        <f t="shared" si="2588"/>
        <v>124251613</v>
      </c>
      <c r="AB2207" s="594"/>
      <c r="AC2207" s="594"/>
      <c r="AD2207" s="594"/>
      <c r="AE2207" s="594"/>
      <c r="AF2207" s="594"/>
      <c r="AG2207" s="594">
        <f t="shared" ref="AG2207:AH2207" si="2589">AG2203+AG2205</f>
        <v>0</v>
      </c>
      <c r="AH2207" s="594">
        <f t="shared" si="2589"/>
        <v>124251613</v>
      </c>
      <c r="AI2207" s="594">
        <f t="shared" ref="AI2207" si="2590">AI2203+AI2205</f>
        <v>106310000</v>
      </c>
      <c r="AJ2207" s="793">
        <f>AI2207/AH2207*100</f>
        <v>85.560257475289276</v>
      </c>
    </row>
    <row r="2208" spans="1:36">
      <c r="A2208" s="441"/>
      <c r="B2208" s="441"/>
      <c r="C2208" s="133"/>
      <c r="D2208" s="133"/>
      <c r="E2208" s="133"/>
      <c r="F2208" s="450"/>
      <c r="G2208" s="449"/>
      <c r="H2208" s="450"/>
      <c r="I2208" s="602"/>
      <c r="J2208" s="523"/>
      <c r="K2208" s="603"/>
      <c r="L2208" s="540"/>
      <c r="M2208" s="540"/>
      <c r="N2208" s="540"/>
      <c r="O2208" s="540"/>
      <c r="P2208" s="540"/>
      <c r="Q2208" s="540"/>
      <c r="R2208" s="540"/>
      <c r="S2208" s="540"/>
      <c r="T2208" s="540"/>
      <c r="U2208" s="540"/>
      <c r="V2208" s="540"/>
      <c r="W2208" s="540"/>
      <c r="X2208" s="540"/>
      <c r="Y2208" s="540"/>
      <c r="Z2208" s="540"/>
      <c r="AA2208" s="540"/>
      <c r="AB2208" s="540"/>
      <c r="AC2208" s="540"/>
      <c r="AD2208" s="540"/>
      <c r="AE2208" s="540"/>
      <c r="AF2208" s="540"/>
      <c r="AG2208" s="540"/>
      <c r="AH2208" s="540"/>
      <c r="AI2208" s="540"/>
      <c r="AJ2208" s="781"/>
    </row>
    <row r="2209" spans="1:36" ht="17.5">
      <c r="A2209" s="441"/>
      <c r="B2209" s="441"/>
      <c r="C2209" s="133"/>
      <c r="D2209" s="133"/>
      <c r="E2209" s="133"/>
      <c r="F2209" s="442" t="s">
        <v>190</v>
      </c>
      <c r="G2209" s="443"/>
      <c r="H2209" s="444"/>
      <c r="I2209" s="444"/>
      <c r="J2209" s="445"/>
      <c r="K2209" s="446"/>
      <c r="L2209" s="447"/>
      <c r="M2209" s="447"/>
      <c r="N2209" s="447"/>
      <c r="O2209" s="447"/>
      <c r="P2209" s="447"/>
      <c r="Q2209" s="447"/>
      <c r="R2209" s="447"/>
      <c r="S2209" s="447"/>
      <c r="T2209" s="447"/>
      <c r="U2209" s="447"/>
      <c r="V2209" s="447"/>
      <c r="W2209" s="447"/>
      <c r="X2209" s="447"/>
      <c r="Y2209" s="447"/>
      <c r="Z2209" s="447"/>
      <c r="AA2209" s="447"/>
      <c r="AB2209" s="447"/>
      <c r="AC2209" s="447"/>
      <c r="AD2209" s="447"/>
      <c r="AE2209" s="447"/>
      <c r="AF2209" s="447"/>
      <c r="AG2209" s="447"/>
      <c r="AH2209" s="447"/>
      <c r="AI2209" s="447"/>
      <c r="AJ2209" s="768"/>
    </row>
    <row r="2210" spans="1:36">
      <c r="A2210" s="441"/>
      <c r="B2210" s="441"/>
      <c r="C2210" s="133"/>
      <c r="D2210" s="133"/>
      <c r="E2210" s="133"/>
      <c r="F2210" s="449"/>
      <c r="G2210" s="449"/>
      <c r="H2210" s="450"/>
      <c r="I2210" s="450"/>
      <c r="J2210" s="523"/>
      <c r="K2210" s="603"/>
      <c r="L2210" s="540"/>
      <c r="M2210" s="540"/>
      <c r="N2210" s="540"/>
      <c r="O2210" s="540"/>
      <c r="P2210" s="540"/>
      <c r="Q2210" s="540"/>
      <c r="R2210" s="604"/>
      <c r="S2210" s="604"/>
      <c r="T2210" s="604"/>
      <c r="U2210" s="540"/>
      <c r="V2210" s="540"/>
      <c r="W2210" s="540"/>
      <c r="X2210" s="540"/>
      <c r="Y2210" s="604"/>
      <c r="Z2210" s="604"/>
      <c r="AA2210" s="604"/>
      <c r="AB2210" s="540"/>
      <c r="AC2210" s="540"/>
      <c r="AD2210" s="540"/>
      <c r="AE2210" s="540"/>
      <c r="AF2210" s="604"/>
      <c r="AG2210" s="604"/>
      <c r="AH2210" s="604"/>
      <c r="AI2210" s="604"/>
      <c r="AJ2210" s="794"/>
    </row>
    <row r="2211" spans="1:36" ht="14">
      <c r="A2211" s="677">
        <v>1</v>
      </c>
      <c r="B2211" s="677"/>
      <c r="C2211" s="465"/>
      <c r="D2211" s="605">
        <v>5</v>
      </c>
      <c r="E2211" s="605" t="s">
        <v>199</v>
      </c>
      <c r="F2211" s="459" t="s">
        <v>15</v>
      </c>
      <c r="G2211" s="606"/>
      <c r="H2211" s="163"/>
      <c r="I2211" s="66"/>
      <c r="J2211" s="126">
        <v>40000000</v>
      </c>
      <c r="K2211" s="204"/>
      <c r="L2211" s="205">
        <f>SUM(J2211:K2211)</f>
        <v>40000000</v>
      </c>
      <c r="M2211" s="205"/>
      <c r="N2211" s="205"/>
      <c r="O2211" s="205"/>
      <c r="P2211" s="205"/>
      <c r="Q2211" s="205"/>
      <c r="R2211" s="607"/>
      <c r="S2211" s="219">
        <f t="shared" ref="S2211:S2232" si="2591">SUM(M2211:R2211)</f>
        <v>0</v>
      </c>
      <c r="T2211" s="219">
        <f t="shared" ref="T2211:T2232" si="2592">S2211+L2211</f>
        <v>40000000</v>
      </c>
      <c r="U2211" s="205"/>
      <c r="V2211" s="205"/>
      <c r="W2211" s="205"/>
      <c r="X2211" s="205"/>
      <c r="Y2211" s="607"/>
      <c r="Z2211" s="219">
        <f t="shared" ref="Z2211:Z2226" si="2593">SUM(U2211:Y2211)</f>
        <v>0</v>
      </c>
      <c r="AA2211" s="219">
        <f t="shared" ref="AA2211:AA2226" si="2594">Z2211+T2211</f>
        <v>40000000</v>
      </c>
      <c r="AB2211" s="205"/>
      <c r="AC2211" s="205"/>
      <c r="AD2211" s="205"/>
      <c r="AE2211" s="205"/>
      <c r="AF2211" s="607"/>
      <c r="AG2211" s="219">
        <f t="shared" ref="AG2211:AG2232" si="2595">SUM(AB2211:AF2211)</f>
        <v>0</v>
      </c>
      <c r="AH2211" s="219">
        <f t="shared" ref="AH2211:AH2232" si="2596">AG2211+AA2211</f>
        <v>40000000</v>
      </c>
      <c r="AI2211" s="219"/>
      <c r="AJ2211" s="777"/>
    </row>
    <row r="2212" spans="1:36" ht="14">
      <c r="A2212" s="677">
        <v>2</v>
      </c>
      <c r="B2212" s="677"/>
      <c r="C2212" s="465"/>
      <c r="D2212" s="605">
        <v>5</v>
      </c>
      <c r="E2212" s="605" t="s">
        <v>198</v>
      </c>
      <c r="F2212" s="459" t="s">
        <v>16</v>
      </c>
      <c r="G2212" s="459"/>
      <c r="H2212" s="163"/>
      <c r="I2212" s="66"/>
      <c r="J2212" s="126">
        <v>3000000</v>
      </c>
      <c r="K2212" s="204"/>
      <c r="L2212" s="205">
        <f>SUM(J2212:K2212)</f>
        <v>3000000</v>
      </c>
      <c r="M2212" s="205">
        <v>14815250</v>
      </c>
      <c r="N2212" s="205"/>
      <c r="O2212" s="205">
        <v>-250000</v>
      </c>
      <c r="P2212" s="205"/>
      <c r="Q2212" s="205">
        <v>-1350000</v>
      </c>
      <c r="R2212" s="607"/>
      <c r="S2212" s="219">
        <f t="shared" si="2591"/>
        <v>13215250</v>
      </c>
      <c r="T2212" s="219">
        <f t="shared" si="2592"/>
        <v>16215250</v>
      </c>
      <c r="U2212" s="205"/>
      <c r="V2212" s="205">
        <v>-2500000</v>
      </c>
      <c r="W2212" s="205"/>
      <c r="X2212" s="205">
        <v>-2995000</v>
      </c>
      <c r="Y2212" s="607"/>
      <c r="Z2212" s="219">
        <f t="shared" si="2593"/>
        <v>-5495000</v>
      </c>
      <c r="AA2212" s="219">
        <f t="shared" si="2594"/>
        <v>10720250</v>
      </c>
      <c r="AB2212" s="205"/>
      <c r="AC2212" s="205">
        <v>-7000000</v>
      </c>
      <c r="AD2212" s="205"/>
      <c r="AE2212" s="205">
        <v>-1388320</v>
      </c>
      <c r="AF2212" s="607"/>
      <c r="AG2212" s="219">
        <f t="shared" si="2595"/>
        <v>-8388320</v>
      </c>
      <c r="AH2212" s="219">
        <f t="shared" si="2596"/>
        <v>2331930</v>
      </c>
      <c r="AI2212" s="219"/>
      <c r="AJ2212" s="777"/>
    </row>
    <row r="2213" spans="1:36" ht="14">
      <c r="A2213" s="677">
        <v>3</v>
      </c>
      <c r="B2213" s="677"/>
      <c r="C2213" s="465"/>
      <c r="D2213" s="605">
        <v>5</v>
      </c>
      <c r="E2213" s="605" t="s">
        <v>198</v>
      </c>
      <c r="F2213" s="41" t="s">
        <v>64</v>
      </c>
      <c r="G2213" s="459"/>
      <c r="H2213" s="163"/>
      <c r="I2213" s="66"/>
      <c r="J2213" s="126">
        <v>9000000</v>
      </c>
      <c r="K2213" s="204"/>
      <c r="L2213" s="205">
        <f>SUM(J2213:K2213)</f>
        <v>9000000</v>
      </c>
      <c r="M2213" s="205"/>
      <c r="N2213" s="205"/>
      <c r="O2213" s="205"/>
      <c r="P2213" s="205"/>
      <c r="Q2213" s="205"/>
      <c r="R2213" s="607"/>
      <c r="S2213" s="219">
        <f t="shared" si="2591"/>
        <v>0</v>
      </c>
      <c r="T2213" s="219">
        <f t="shared" si="2592"/>
        <v>9000000</v>
      </c>
      <c r="U2213" s="205"/>
      <c r="V2213" s="205">
        <v>-8230400</v>
      </c>
      <c r="W2213" s="205"/>
      <c r="X2213" s="205"/>
      <c r="Y2213" s="607"/>
      <c r="Z2213" s="219">
        <f t="shared" si="2593"/>
        <v>-8230400</v>
      </c>
      <c r="AA2213" s="219">
        <f t="shared" si="2594"/>
        <v>769600</v>
      </c>
      <c r="AB2213" s="205"/>
      <c r="AC2213" s="205"/>
      <c r="AD2213" s="205"/>
      <c r="AE2213" s="205"/>
      <c r="AF2213" s="607"/>
      <c r="AG2213" s="219">
        <f t="shared" si="2595"/>
        <v>0</v>
      </c>
      <c r="AH2213" s="219">
        <f t="shared" si="2596"/>
        <v>769600</v>
      </c>
      <c r="AI2213" s="219"/>
      <c r="AJ2213" s="777"/>
    </row>
    <row r="2214" spans="1:36" ht="14">
      <c r="A2214" s="677">
        <v>4</v>
      </c>
      <c r="B2214" s="677"/>
      <c r="C2214" s="465"/>
      <c r="D2214" s="605">
        <v>5</v>
      </c>
      <c r="E2214" s="605" t="s">
        <v>199</v>
      </c>
      <c r="F2214" s="41" t="s">
        <v>443</v>
      </c>
      <c r="G2214" s="459"/>
      <c r="H2214" s="163"/>
      <c r="I2214" s="66"/>
      <c r="J2214" s="126"/>
      <c r="K2214" s="204">
        <v>400000000</v>
      </c>
      <c r="L2214" s="205">
        <f t="shared" ref="L2214:L2226" si="2597">SUM(J2214:K2214)</f>
        <v>400000000</v>
      </c>
      <c r="M2214" s="205"/>
      <c r="N2214" s="205"/>
      <c r="O2214" s="205"/>
      <c r="P2214" s="205"/>
      <c r="Q2214" s="205">
        <v>-36989024</v>
      </c>
      <c r="R2214" s="607"/>
      <c r="S2214" s="219">
        <f t="shared" si="2591"/>
        <v>-36989024</v>
      </c>
      <c r="T2214" s="219">
        <f t="shared" si="2592"/>
        <v>363010976</v>
      </c>
      <c r="U2214" s="205"/>
      <c r="V2214" s="205"/>
      <c r="W2214" s="205"/>
      <c r="X2214" s="205">
        <v>-186851343</v>
      </c>
      <c r="Y2214" s="607"/>
      <c r="Z2214" s="219">
        <f t="shared" si="2593"/>
        <v>-186851343</v>
      </c>
      <c r="AA2214" s="219">
        <f t="shared" si="2594"/>
        <v>176159633</v>
      </c>
      <c r="AB2214" s="205"/>
      <c r="AC2214" s="205"/>
      <c r="AD2214" s="205"/>
      <c r="AE2214" s="205">
        <v>-63432524</v>
      </c>
      <c r="AF2214" s="607"/>
      <c r="AG2214" s="219">
        <f t="shared" si="2595"/>
        <v>-63432524</v>
      </c>
      <c r="AH2214" s="219">
        <f t="shared" si="2596"/>
        <v>112727109</v>
      </c>
      <c r="AI2214" s="219"/>
      <c r="AJ2214" s="777"/>
    </row>
    <row r="2215" spans="1:36" ht="14">
      <c r="A2215" s="677">
        <v>5</v>
      </c>
      <c r="B2215" s="677"/>
      <c r="C2215" s="465"/>
      <c r="D2215" s="605">
        <v>5</v>
      </c>
      <c r="E2215" s="605" t="s">
        <v>199</v>
      </c>
      <c r="F2215" s="459" t="s">
        <v>478</v>
      </c>
      <c r="G2215" s="459"/>
      <c r="H2215" s="163"/>
      <c r="I2215" s="66"/>
      <c r="J2215" s="680"/>
      <c r="K2215" s="679">
        <v>37500000</v>
      </c>
      <c r="L2215" s="205">
        <f t="shared" si="2597"/>
        <v>37500000</v>
      </c>
      <c r="M2215" s="205"/>
      <c r="N2215" s="205"/>
      <c r="O2215" s="205"/>
      <c r="P2215" s="205"/>
      <c r="Q2215" s="205"/>
      <c r="R2215" s="607"/>
      <c r="S2215" s="219">
        <f t="shared" si="2591"/>
        <v>0</v>
      </c>
      <c r="T2215" s="219">
        <f t="shared" si="2592"/>
        <v>37500000</v>
      </c>
      <c r="U2215" s="205"/>
      <c r="V2215" s="205"/>
      <c r="W2215" s="205"/>
      <c r="X2215" s="205"/>
      <c r="Y2215" s="607"/>
      <c r="Z2215" s="219">
        <f t="shared" si="2593"/>
        <v>0</v>
      </c>
      <c r="AA2215" s="219">
        <f t="shared" si="2594"/>
        <v>37500000</v>
      </c>
      <c r="AB2215" s="205"/>
      <c r="AC2215" s="205"/>
      <c r="AD2215" s="205"/>
      <c r="AE2215" s="205">
        <v>-37500000</v>
      </c>
      <c r="AF2215" s="607"/>
      <c r="AG2215" s="219">
        <f t="shared" si="2595"/>
        <v>-37500000</v>
      </c>
      <c r="AH2215" s="219">
        <f t="shared" si="2596"/>
        <v>0</v>
      </c>
      <c r="AI2215" s="219"/>
      <c r="AJ2215" s="777"/>
    </row>
    <row r="2216" spans="1:36" ht="14">
      <c r="A2216" s="677">
        <v>6</v>
      </c>
      <c r="B2216" s="677"/>
      <c r="C2216" s="465"/>
      <c r="D2216" s="605">
        <v>5</v>
      </c>
      <c r="E2216" s="605" t="s">
        <v>199</v>
      </c>
      <c r="F2216" s="459" t="s">
        <v>68</v>
      </c>
      <c r="G2216" s="459"/>
      <c r="H2216" s="163"/>
      <c r="I2216" s="66"/>
      <c r="J2216" s="126">
        <v>3000000</v>
      </c>
      <c r="K2216" s="204"/>
      <c r="L2216" s="205">
        <f t="shared" si="2597"/>
        <v>3000000</v>
      </c>
      <c r="M2216" s="205"/>
      <c r="N2216" s="205"/>
      <c r="O2216" s="205"/>
      <c r="P2216" s="205"/>
      <c r="Q2216" s="205"/>
      <c r="R2216" s="607"/>
      <c r="S2216" s="219">
        <f t="shared" si="2591"/>
        <v>0</v>
      </c>
      <c r="T2216" s="219">
        <f t="shared" si="2592"/>
        <v>3000000</v>
      </c>
      <c r="U2216" s="205"/>
      <c r="V2216" s="205"/>
      <c r="W2216" s="205"/>
      <c r="X2216" s="205"/>
      <c r="Y2216" s="607"/>
      <c r="Z2216" s="219">
        <f t="shared" si="2593"/>
        <v>0</v>
      </c>
      <c r="AA2216" s="219">
        <f t="shared" si="2594"/>
        <v>3000000</v>
      </c>
      <c r="AB2216" s="205"/>
      <c r="AC2216" s="205"/>
      <c r="AD2216" s="205"/>
      <c r="AE2216" s="205"/>
      <c r="AF2216" s="607"/>
      <c r="AG2216" s="219">
        <f t="shared" si="2595"/>
        <v>0</v>
      </c>
      <c r="AH2216" s="219">
        <f t="shared" si="2596"/>
        <v>3000000</v>
      </c>
      <c r="AI2216" s="219"/>
      <c r="AJ2216" s="777"/>
    </row>
    <row r="2217" spans="1:36" ht="14">
      <c r="A2217" s="677">
        <v>7</v>
      </c>
      <c r="B2217" s="677"/>
      <c r="C2217" s="465"/>
      <c r="D2217" s="605">
        <v>5</v>
      </c>
      <c r="E2217" s="605" t="s">
        <v>199</v>
      </c>
      <c r="F2217" s="459" t="s">
        <v>133</v>
      </c>
      <c r="G2217" s="459"/>
      <c r="H2217" s="163"/>
      <c r="I2217" s="66"/>
      <c r="J2217" s="126">
        <v>3000000</v>
      </c>
      <c r="K2217" s="204"/>
      <c r="L2217" s="205">
        <f t="shared" si="2597"/>
        <v>3000000</v>
      </c>
      <c r="M2217" s="205"/>
      <c r="N2217" s="205"/>
      <c r="O2217" s="205"/>
      <c r="P2217" s="205"/>
      <c r="Q2217" s="205"/>
      <c r="R2217" s="607"/>
      <c r="S2217" s="219">
        <f t="shared" si="2591"/>
        <v>0</v>
      </c>
      <c r="T2217" s="219">
        <f t="shared" si="2592"/>
        <v>3000000</v>
      </c>
      <c r="U2217" s="205"/>
      <c r="V2217" s="205"/>
      <c r="W2217" s="205"/>
      <c r="X2217" s="205"/>
      <c r="Y2217" s="607"/>
      <c r="Z2217" s="219">
        <f t="shared" si="2593"/>
        <v>0</v>
      </c>
      <c r="AA2217" s="219">
        <f t="shared" si="2594"/>
        <v>3000000</v>
      </c>
      <c r="AB2217" s="205"/>
      <c r="AC2217" s="205"/>
      <c r="AD2217" s="205"/>
      <c r="AE2217" s="205"/>
      <c r="AF2217" s="607"/>
      <c r="AG2217" s="219">
        <f t="shared" si="2595"/>
        <v>0</v>
      </c>
      <c r="AH2217" s="219">
        <f t="shared" si="2596"/>
        <v>3000000</v>
      </c>
      <c r="AI2217" s="219"/>
      <c r="AJ2217" s="777"/>
    </row>
    <row r="2218" spans="1:36" ht="14">
      <c r="A2218" s="677">
        <v>8</v>
      </c>
      <c r="B2218" s="677"/>
      <c r="C2218" s="465"/>
      <c r="D2218" s="605">
        <v>5</v>
      </c>
      <c r="E2218" s="605" t="s">
        <v>199</v>
      </c>
      <c r="F2218" s="942" t="s">
        <v>479</v>
      </c>
      <c r="G2218" s="935"/>
      <c r="H2218" s="935"/>
      <c r="I2218" s="936"/>
      <c r="J2218" s="126">
        <v>4000000</v>
      </c>
      <c r="K2218" s="204"/>
      <c r="L2218" s="205">
        <f t="shared" si="2597"/>
        <v>4000000</v>
      </c>
      <c r="M2218" s="205"/>
      <c r="N2218" s="205"/>
      <c r="O2218" s="205"/>
      <c r="P2218" s="205"/>
      <c r="Q2218" s="205"/>
      <c r="R2218" s="607"/>
      <c r="S2218" s="219">
        <f t="shared" si="2591"/>
        <v>0</v>
      </c>
      <c r="T2218" s="219">
        <f t="shared" si="2592"/>
        <v>4000000</v>
      </c>
      <c r="U2218" s="205"/>
      <c r="V2218" s="205"/>
      <c r="W2218" s="205"/>
      <c r="X2218" s="205"/>
      <c r="Y2218" s="607"/>
      <c r="Z2218" s="219">
        <f t="shared" si="2593"/>
        <v>0</v>
      </c>
      <c r="AA2218" s="219">
        <f t="shared" si="2594"/>
        <v>4000000</v>
      </c>
      <c r="AB2218" s="205"/>
      <c r="AC2218" s="205"/>
      <c r="AD2218" s="205"/>
      <c r="AE2218" s="205"/>
      <c r="AF2218" s="607"/>
      <c r="AG2218" s="219">
        <f t="shared" si="2595"/>
        <v>0</v>
      </c>
      <c r="AH2218" s="219">
        <f t="shared" si="2596"/>
        <v>4000000</v>
      </c>
      <c r="AI2218" s="219"/>
      <c r="AJ2218" s="777"/>
    </row>
    <row r="2219" spans="1:36" ht="16.5" customHeight="1">
      <c r="A2219" s="677">
        <v>9</v>
      </c>
      <c r="B2219" s="677"/>
      <c r="C2219" s="465"/>
      <c r="D2219" s="605">
        <v>5</v>
      </c>
      <c r="E2219" s="605" t="s">
        <v>199</v>
      </c>
      <c r="F2219" s="459" t="s">
        <v>154</v>
      </c>
      <c r="G2219" s="459"/>
      <c r="H2219" s="163"/>
      <c r="I2219" s="66"/>
      <c r="J2219" s="126">
        <v>20000000</v>
      </c>
      <c r="K2219" s="204"/>
      <c r="L2219" s="205">
        <f>SUM(J2219:K2219)</f>
        <v>20000000</v>
      </c>
      <c r="M2219" s="205"/>
      <c r="N2219" s="205"/>
      <c r="O2219" s="205"/>
      <c r="P2219" s="205"/>
      <c r="Q2219" s="205"/>
      <c r="R2219" s="607"/>
      <c r="S2219" s="219">
        <f t="shared" si="2591"/>
        <v>0</v>
      </c>
      <c r="T2219" s="219">
        <f t="shared" si="2592"/>
        <v>20000000</v>
      </c>
      <c r="U2219" s="205"/>
      <c r="V2219" s="205">
        <v>-4002000</v>
      </c>
      <c r="W2219" s="205"/>
      <c r="X2219" s="205"/>
      <c r="Y2219" s="607"/>
      <c r="Z2219" s="219">
        <f t="shared" si="2593"/>
        <v>-4002000</v>
      </c>
      <c r="AA2219" s="219">
        <f t="shared" si="2594"/>
        <v>15998000</v>
      </c>
      <c r="AB2219" s="205"/>
      <c r="AC2219" s="205">
        <v>-14889700</v>
      </c>
      <c r="AD2219" s="205"/>
      <c r="AE2219" s="205"/>
      <c r="AF2219" s="607"/>
      <c r="AG2219" s="219">
        <f t="shared" si="2595"/>
        <v>-14889700</v>
      </c>
      <c r="AH2219" s="219">
        <f t="shared" si="2596"/>
        <v>1108300</v>
      </c>
      <c r="AI2219" s="219"/>
      <c r="AJ2219" s="777"/>
    </row>
    <row r="2220" spans="1:36" ht="16.5" customHeight="1">
      <c r="A2220" s="677">
        <v>10</v>
      </c>
      <c r="B2220" s="677"/>
      <c r="C2220" s="465"/>
      <c r="D2220" s="605">
        <v>5</v>
      </c>
      <c r="E2220" s="605" t="s">
        <v>199</v>
      </c>
      <c r="F2220" s="942" t="s">
        <v>480</v>
      </c>
      <c r="G2220" s="935"/>
      <c r="H2220" s="935"/>
      <c r="I2220" s="936"/>
      <c r="J2220" s="126">
        <v>34000000</v>
      </c>
      <c r="K2220" s="204"/>
      <c r="L2220" s="205">
        <f t="shared" si="2597"/>
        <v>34000000</v>
      </c>
      <c r="M2220" s="205"/>
      <c r="N2220" s="205"/>
      <c r="O2220" s="205"/>
      <c r="P2220" s="205"/>
      <c r="Q2220" s="205">
        <v>-5514511</v>
      </c>
      <c r="R2220" s="607"/>
      <c r="S2220" s="219">
        <f t="shared" si="2591"/>
        <v>-5514511</v>
      </c>
      <c r="T2220" s="219">
        <f t="shared" si="2592"/>
        <v>28485489</v>
      </c>
      <c r="U2220" s="205"/>
      <c r="V2220" s="205"/>
      <c r="W2220" s="205"/>
      <c r="X2220" s="205">
        <v>-14466526</v>
      </c>
      <c r="Y2220" s="607"/>
      <c r="Z2220" s="219">
        <f t="shared" si="2593"/>
        <v>-14466526</v>
      </c>
      <c r="AA2220" s="219">
        <f t="shared" si="2594"/>
        <v>14018963</v>
      </c>
      <c r="AB2220" s="205"/>
      <c r="AC2220" s="205"/>
      <c r="AD2220" s="205"/>
      <c r="AE2220" s="205">
        <v>-2286614</v>
      </c>
      <c r="AF2220" s="607"/>
      <c r="AG2220" s="219">
        <f t="shared" si="2595"/>
        <v>-2286614</v>
      </c>
      <c r="AH2220" s="219">
        <f t="shared" si="2596"/>
        <v>11732349</v>
      </c>
      <c r="AI2220" s="219"/>
      <c r="AJ2220" s="777"/>
    </row>
    <row r="2221" spans="1:36" ht="16.5" customHeight="1">
      <c r="A2221" s="677">
        <v>11</v>
      </c>
      <c r="B2221" s="677"/>
      <c r="C2221" s="465"/>
      <c r="D2221" s="605">
        <v>5</v>
      </c>
      <c r="E2221" s="605" t="s">
        <v>198</v>
      </c>
      <c r="F2221" s="942" t="s">
        <v>142</v>
      </c>
      <c r="G2221" s="935"/>
      <c r="H2221" s="935"/>
      <c r="I2221" s="936"/>
      <c r="J2221" s="126">
        <v>5000000</v>
      </c>
      <c r="K2221" s="204"/>
      <c r="L2221" s="205">
        <f t="shared" si="2597"/>
        <v>5000000</v>
      </c>
      <c r="M2221" s="205"/>
      <c r="N2221" s="205"/>
      <c r="O2221" s="205"/>
      <c r="P2221" s="205"/>
      <c r="Q2221" s="205"/>
      <c r="R2221" s="607"/>
      <c r="S2221" s="219">
        <f t="shared" si="2591"/>
        <v>0</v>
      </c>
      <c r="T2221" s="219">
        <f t="shared" si="2592"/>
        <v>5000000</v>
      </c>
      <c r="U2221" s="205"/>
      <c r="V2221" s="205"/>
      <c r="W2221" s="205"/>
      <c r="X2221" s="205"/>
      <c r="Y2221" s="607"/>
      <c r="Z2221" s="219">
        <f t="shared" si="2593"/>
        <v>0</v>
      </c>
      <c r="AA2221" s="219">
        <f t="shared" si="2594"/>
        <v>5000000</v>
      </c>
      <c r="AB2221" s="205"/>
      <c r="AC2221" s="205"/>
      <c r="AD2221" s="205"/>
      <c r="AE2221" s="205">
        <v>-3883750</v>
      </c>
      <c r="AF2221" s="607"/>
      <c r="AG2221" s="219">
        <f t="shared" si="2595"/>
        <v>-3883750</v>
      </c>
      <c r="AH2221" s="219">
        <f t="shared" si="2596"/>
        <v>1116250</v>
      </c>
      <c r="AI2221" s="219"/>
      <c r="AJ2221" s="777"/>
    </row>
    <row r="2222" spans="1:36" ht="16.5" hidden="1" customHeight="1">
      <c r="A2222" s="677"/>
      <c r="B2222" s="677"/>
      <c r="C2222" s="465"/>
      <c r="D2222" s="605"/>
      <c r="E2222" s="605"/>
      <c r="F2222" s="669"/>
      <c r="G2222" s="669"/>
      <c r="H2222" s="669"/>
      <c r="I2222" s="669"/>
      <c r="J2222" s="126"/>
      <c r="K2222" s="204"/>
      <c r="L2222" s="205"/>
      <c r="M2222" s="205"/>
      <c r="N2222" s="205"/>
      <c r="O2222" s="205"/>
      <c r="P2222" s="205"/>
      <c r="Q2222" s="205"/>
      <c r="R2222" s="607"/>
      <c r="S2222" s="219">
        <f t="shared" si="2591"/>
        <v>0</v>
      </c>
      <c r="T2222" s="219">
        <f t="shared" si="2592"/>
        <v>0</v>
      </c>
      <c r="U2222" s="205"/>
      <c r="V2222" s="205"/>
      <c r="W2222" s="205"/>
      <c r="X2222" s="205"/>
      <c r="Y2222" s="607"/>
      <c r="Z2222" s="219">
        <f t="shared" si="2593"/>
        <v>0</v>
      </c>
      <c r="AA2222" s="219">
        <f t="shared" si="2594"/>
        <v>0</v>
      </c>
      <c r="AB2222" s="205"/>
      <c r="AC2222" s="205"/>
      <c r="AD2222" s="205"/>
      <c r="AE2222" s="205"/>
      <c r="AF2222" s="607"/>
      <c r="AG2222" s="219">
        <f t="shared" si="2595"/>
        <v>0</v>
      </c>
      <c r="AH2222" s="219">
        <f t="shared" si="2596"/>
        <v>0</v>
      </c>
      <c r="AI2222" s="219"/>
      <c r="AJ2222" s="777"/>
    </row>
    <row r="2223" spans="1:36" ht="14">
      <c r="A2223" s="677">
        <v>12</v>
      </c>
      <c r="B2223" s="677"/>
      <c r="C2223" s="465"/>
      <c r="D2223" s="605">
        <v>5</v>
      </c>
      <c r="E2223" s="605" t="s">
        <v>199</v>
      </c>
      <c r="F2223" s="459" t="s">
        <v>181</v>
      </c>
      <c r="G2223" s="459"/>
      <c r="H2223" s="163"/>
      <c r="I2223" s="66"/>
      <c r="J2223" s="126">
        <v>80000000</v>
      </c>
      <c r="K2223" s="204"/>
      <c r="L2223" s="205">
        <f>SUM(J2223:K2223)</f>
        <v>80000000</v>
      </c>
      <c r="M2223" s="205">
        <v>66023707</v>
      </c>
      <c r="N2223" s="205"/>
      <c r="O2223" s="205">
        <v>-81229136</v>
      </c>
      <c r="P2223" s="205">
        <v>4526466</v>
      </c>
      <c r="Q2223" s="205"/>
      <c r="R2223" s="607"/>
      <c r="S2223" s="219">
        <f t="shared" si="2591"/>
        <v>-10678963</v>
      </c>
      <c r="T2223" s="219">
        <f t="shared" si="2592"/>
        <v>69321037</v>
      </c>
      <c r="U2223" s="205">
        <v>46844000</v>
      </c>
      <c r="V2223" s="205">
        <v>-46312843</v>
      </c>
      <c r="W2223" s="205"/>
      <c r="X2223" s="205"/>
      <c r="Y2223" s="607"/>
      <c r="Z2223" s="219">
        <f t="shared" si="2593"/>
        <v>531157</v>
      </c>
      <c r="AA2223" s="219">
        <f t="shared" si="2594"/>
        <v>69852194</v>
      </c>
      <c r="AB2223" s="205"/>
      <c r="AC2223" s="205">
        <v>-40779122</v>
      </c>
      <c r="AD2223" s="205"/>
      <c r="AE2223" s="205"/>
      <c r="AF2223" s="607"/>
      <c r="AG2223" s="219">
        <f t="shared" si="2595"/>
        <v>-40779122</v>
      </c>
      <c r="AH2223" s="219">
        <f t="shared" si="2596"/>
        <v>29073072</v>
      </c>
      <c r="AI2223" s="219"/>
      <c r="AJ2223" s="777"/>
    </row>
    <row r="2224" spans="1:36" ht="14">
      <c r="A2224" s="677">
        <v>13</v>
      </c>
      <c r="B2224" s="677"/>
      <c r="C2224" s="465"/>
      <c r="D2224" s="605">
        <v>5</v>
      </c>
      <c r="E2224" s="605" t="s">
        <v>199</v>
      </c>
      <c r="F2224" s="459" t="s">
        <v>444</v>
      </c>
      <c r="G2224" s="669"/>
      <c r="H2224" s="669"/>
      <c r="I2224" s="669"/>
      <c r="J2224" s="680">
        <v>105549491</v>
      </c>
      <c r="K2224" s="679">
        <v>264062838</v>
      </c>
      <c r="L2224" s="205">
        <f>SUM(J2224:K2224)</f>
        <v>369612329</v>
      </c>
      <c r="M2224" s="205"/>
      <c r="N2224" s="205"/>
      <c r="O2224" s="205"/>
      <c r="P2224" s="205"/>
      <c r="Q2224" s="205"/>
      <c r="R2224" s="607"/>
      <c r="S2224" s="219">
        <f t="shared" si="2591"/>
        <v>0</v>
      </c>
      <c r="T2224" s="219">
        <f t="shared" si="2592"/>
        <v>369612329</v>
      </c>
      <c r="U2224" s="205"/>
      <c r="V2224" s="205"/>
      <c r="W2224" s="205"/>
      <c r="X2224" s="205">
        <v>-13712087</v>
      </c>
      <c r="Y2224" s="607"/>
      <c r="Z2224" s="219">
        <f t="shared" si="2593"/>
        <v>-13712087</v>
      </c>
      <c r="AA2224" s="219">
        <f t="shared" si="2594"/>
        <v>355900242</v>
      </c>
      <c r="AB2224" s="205"/>
      <c r="AC2224" s="205"/>
      <c r="AD2224" s="205"/>
      <c r="AE2224" s="205">
        <v>-83084135</v>
      </c>
      <c r="AF2224" s="607"/>
      <c r="AG2224" s="219">
        <f t="shared" si="2595"/>
        <v>-83084135</v>
      </c>
      <c r="AH2224" s="219">
        <f t="shared" si="2596"/>
        <v>272816107</v>
      </c>
      <c r="AI2224" s="219"/>
      <c r="AJ2224" s="777"/>
    </row>
    <row r="2225" spans="1:36" ht="14">
      <c r="A2225" s="677">
        <v>14</v>
      </c>
      <c r="B2225" s="677"/>
      <c r="C2225" s="465"/>
      <c r="D2225" s="605">
        <v>5</v>
      </c>
      <c r="E2225" s="605" t="s">
        <v>199</v>
      </c>
      <c r="F2225" s="942" t="s">
        <v>332</v>
      </c>
      <c r="G2225" s="935"/>
      <c r="H2225" s="935"/>
      <c r="I2225" s="936"/>
      <c r="J2225" s="126">
        <v>10000000</v>
      </c>
      <c r="K2225" s="204"/>
      <c r="L2225" s="205">
        <f t="shared" si="2597"/>
        <v>10000000</v>
      </c>
      <c r="M2225" s="205"/>
      <c r="N2225" s="205"/>
      <c r="O2225" s="205"/>
      <c r="P2225" s="205"/>
      <c r="Q2225" s="205"/>
      <c r="R2225" s="607"/>
      <c r="S2225" s="219">
        <f t="shared" si="2591"/>
        <v>0</v>
      </c>
      <c r="T2225" s="219">
        <f t="shared" si="2592"/>
        <v>10000000</v>
      </c>
      <c r="U2225" s="205"/>
      <c r="V2225" s="205"/>
      <c r="W2225" s="205"/>
      <c r="X2225" s="205"/>
      <c r="Y2225" s="607"/>
      <c r="Z2225" s="219">
        <f t="shared" si="2593"/>
        <v>0</v>
      </c>
      <c r="AA2225" s="219">
        <f t="shared" si="2594"/>
        <v>10000000</v>
      </c>
      <c r="AB2225" s="205">
        <v>-1690061</v>
      </c>
      <c r="AC2225" s="205"/>
      <c r="AD2225" s="205"/>
      <c r="AE2225" s="205">
        <v>-68</v>
      </c>
      <c r="AF2225" s="607"/>
      <c r="AG2225" s="219">
        <f t="shared" si="2595"/>
        <v>-1690129</v>
      </c>
      <c r="AH2225" s="219">
        <f t="shared" si="2596"/>
        <v>8309871</v>
      </c>
      <c r="AI2225" s="219"/>
      <c r="AJ2225" s="777"/>
    </row>
    <row r="2226" spans="1:36" ht="14">
      <c r="A2226" s="968">
        <v>15</v>
      </c>
      <c r="B2226" s="677"/>
      <c r="C2226" s="465"/>
      <c r="D2226" s="970">
        <v>5</v>
      </c>
      <c r="E2226" s="970" t="s">
        <v>199</v>
      </c>
      <c r="F2226" s="942" t="s">
        <v>8</v>
      </c>
      <c r="G2226" s="935"/>
      <c r="H2226" s="935"/>
      <c r="I2226" s="936"/>
      <c r="J2226" s="975">
        <v>9709418</v>
      </c>
      <c r="K2226" s="974"/>
      <c r="L2226" s="969">
        <f t="shared" si="2597"/>
        <v>9709418</v>
      </c>
      <c r="M2226" s="969">
        <v>76889246</v>
      </c>
      <c r="N2226" s="678"/>
      <c r="O2226" s="678"/>
      <c r="P2226" s="678"/>
      <c r="Q2226" s="678"/>
      <c r="R2226" s="667"/>
      <c r="S2226" s="928">
        <f t="shared" si="2591"/>
        <v>76889246</v>
      </c>
      <c r="T2226" s="928">
        <f t="shared" si="2592"/>
        <v>86598664</v>
      </c>
      <c r="U2226" s="678"/>
      <c r="V2226" s="678"/>
      <c r="W2226" s="678"/>
      <c r="X2226" s="678"/>
      <c r="Y2226" s="667"/>
      <c r="Z2226" s="928">
        <f t="shared" si="2593"/>
        <v>0</v>
      </c>
      <c r="AA2226" s="928">
        <f t="shared" si="2594"/>
        <v>86598664</v>
      </c>
      <c r="AB2226" s="702"/>
      <c r="AC2226" s="702"/>
      <c r="AD2226" s="702"/>
      <c r="AE2226" s="702"/>
      <c r="AF2226" s="704"/>
      <c r="AG2226" s="219">
        <f t="shared" si="2595"/>
        <v>0</v>
      </c>
      <c r="AH2226" s="219">
        <f t="shared" si="2596"/>
        <v>86598664</v>
      </c>
      <c r="AI2226" s="928"/>
      <c r="AJ2226" s="979"/>
    </row>
    <row r="2227" spans="1:36" ht="14">
      <c r="A2227" s="968"/>
      <c r="B2227" s="677"/>
      <c r="C2227" s="465"/>
      <c r="D2227" s="970"/>
      <c r="E2227" s="970"/>
      <c r="F2227" s="485" t="s">
        <v>155</v>
      </c>
      <c r="G2227" s="669"/>
      <c r="H2227" s="669"/>
      <c r="I2227" s="669"/>
      <c r="J2227" s="975"/>
      <c r="K2227" s="974"/>
      <c r="L2227" s="969"/>
      <c r="M2227" s="969"/>
      <c r="N2227" s="678"/>
      <c r="O2227" s="678"/>
      <c r="P2227" s="678"/>
      <c r="Q2227" s="678"/>
      <c r="R2227" s="667"/>
      <c r="S2227" s="928"/>
      <c r="T2227" s="928"/>
      <c r="U2227" s="678"/>
      <c r="V2227" s="678"/>
      <c r="W2227" s="678"/>
      <c r="X2227" s="678"/>
      <c r="Y2227" s="667"/>
      <c r="Z2227" s="928"/>
      <c r="AA2227" s="928"/>
      <c r="AB2227" s="702"/>
      <c r="AC2227" s="702"/>
      <c r="AD2227" s="702"/>
      <c r="AE2227" s="702"/>
      <c r="AF2227" s="704"/>
      <c r="AG2227" s="219">
        <f t="shared" si="2595"/>
        <v>0</v>
      </c>
      <c r="AH2227" s="219">
        <f t="shared" si="2596"/>
        <v>0</v>
      </c>
      <c r="AI2227" s="928"/>
      <c r="AJ2227" s="979"/>
    </row>
    <row r="2228" spans="1:36" ht="14">
      <c r="A2228" s="677">
        <v>16</v>
      </c>
      <c r="B2228" s="677"/>
      <c r="C2228" s="465"/>
      <c r="D2228" s="605">
        <v>5</v>
      </c>
      <c r="E2228" s="605" t="s">
        <v>199</v>
      </c>
      <c r="F2228" s="459" t="s">
        <v>586</v>
      </c>
      <c r="G2228" s="669"/>
      <c r="H2228" s="669"/>
      <c r="I2228" s="669"/>
      <c r="J2228" s="680"/>
      <c r="K2228" s="679"/>
      <c r="L2228" s="678"/>
      <c r="M2228" s="678"/>
      <c r="N2228" s="678">
        <v>14864410</v>
      </c>
      <c r="O2228" s="678"/>
      <c r="P2228" s="678"/>
      <c r="Q2228" s="678">
        <v>-13306055</v>
      </c>
      <c r="R2228" s="667"/>
      <c r="S2228" s="219">
        <f t="shared" si="2591"/>
        <v>1558355</v>
      </c>
      <c r="T2228" s="219">
        <f t="shared" si="2592"/>
        <v>1558355</v>
      </c>
      <c r="U2228" s="678">
        <v>6067810</v>
      </c>
      <c r="V2228" s="678"/>
      <c r="W2228" s="678"/>
      <c r="X2228" s="678">
        <v>-6067810</v>
      </c>
      <c r="Y2228" s="667"/>
      <c r="Z2228" s="219">
        <f>SUM(U2228:Y2228)</f>
        <v>0</v>
      </c>
      <c r="AA2228" s="219">
        <f>Z2228+T2228</f>
        <v>1558355</v>
      </c>
      <c r="AB2228" s="702">
        <v>4252166</v>
      </c>
      <c r="AC2228" s="702"/>
      <c r="AD2228" s="702"/>
      <c r="AE2228" s="702">
        <v>-5810521</v>
      </c>
      <c r="AF2228" s="704"/>
      <c r="AG2228" s="219">
        <f t="shared" si="2595"/>
        <v>-1558355</v>
      </c>
      <c r="AH2228" s="219">
        <f t="shared" si="2596"/>
        <v>0</v>
      </c>
      <c r="AI2228" s="219"/>
      <c r="AJ2228" s="777"/>
    </row>
    <row r="2229" spans="1:36" ht="14">
      <c r="A2229" s="677">
        <v>17</v>
      </c>
      <c r="B2229" s="677"/>
      <c r="C2229" s="465"/>
      <c r="D2229" s="605">
        <v>5</v>
      </c>
      <c r="E2229" s="605" t="s">
        <v>199</v>
      </c>
      <c r="F2229" s="459" t="s">
        <v>587</v>
      </c>
      <c r="G2229" s="669"/>
      <c r="H2229" s="669"/>
      <c r="I2229" s="669"/>
      <c r="J2229" s="680"/>
      <c r="K2229" s="679"/>
      <c r="L2229" s="678"/>
      <c r="M2229" s="678"/>
      <c r="N2229" s="678">
        <v>58075303</v>
      </c>
      <c r="O2229" s="678"/>
      <c r="P2229" s="678"/>
      <c r="Q2229" s="678">
        <v>-58075303</v>
      </c>
      <c r="R2229" s="667"/>
      <c r="S2229" s="219">
        <f t="shared" si="2591"/>
        <v>0</v>
      </c>
      <c r="T2229" s="219">
        <f t="shared" si="2592"/>
        <v>0</v>
      </c>
      <c r="U2229" s="678">
        <v>28836991</v>
      </c>
      <c r="V2229" s="678"/>
      <c r="W2229" s="678"/>
      <c r="X2229" s="678">
        <v>-28836991</v>
      </c>
      <c r="Y2229" s="667"/>
      <c r="Z2229" s="219">
        <f>SUM(U2229:Y2229)</f>
        <v>0</v>
      </c>
      <c r="AA2229" s="219">
        <f>Z2229+T2229</f>
        <v>0</v>
      </c>
      <c r="AB2229" s="702">
        <v>29557244</v>
      </c>
      <c r="AC2229" s="702"/>
      <c r="AD2229" s="702"/>
      <c r="AE2229" s="702">
        <v>-29557244</v>
      </c>
      <c r="AF2229" s="704"/>
      <c r="AG2229" s="219">
        <f t="shared" si="2595"/>
        <v>0</v>
      </c>
      <c r="AH2229" s="219">
        <f t="shared" si="2596"/>
        <v>0</v>
      </c>
      <c r="AI2229" s="219"/>
      <c r="AJ2229" s="777"/>
    </row>
    <row r="2230" spans="1:36" ht="14">
      <c r="A2230" s="677">
        <v>18</v>
      </c>
      <c r="B2230" s="677"/>
      <c r="C2230" s="465"/>
      <c r="D2230" s="605">
        <v>5</v>
      </c>
      <c r="E2230" s="605" t="s">
        <v>199</v>
      </c>
      <c r="F2230" s="459" t="s">
        <v>588</v>
      </c>
      <c r="G2230" s="669"/>
      <c r="H2230" s="669"/>
      <c r="I2230" s="669"/>
      <c r="J2230" s="680"/>
      <c r="K2230" s="679"/>
      <c r="L2230" s="678"/>
      <c r="M2230" s="678"/>
      <c r="N2230" s="678">
        <v>37384808</v>
      </c>
      <c r="O2230" s="678"/>
      <c r="P2230" s="678"/>
      <c r="Q2230" s="678">
        <v>-37384808</v>
      </c>
      <c r="R2230" s="667"/>
      <c r="S2230" s="219">
        <f t="shared" si="2591"/>
        <v>0</v>
      </c>
      <c r="T2230" s="219">
        <f t="shared" si="2592"/>
        <v>0</v>
      </c>
      <c r="U2230" s="678">
        <v>18444913</v>
      </c>
      <c r="V2230" s="678"/>
      <c r="W2230" s="678"/>
      <c r="X2230" s="678">
        <v>-18444913</v>
      </c>
      <c r="Y2230" s="667"/>
      <c r="Z2230" s="219">
        <f>SUM(U2230:Y2230)</f>
        <v>0</v>
      </c>
      <c r="AA2230" s="219">
        <f>Z2230+T2230</f>
        <v>0</v>
      </c>
      <c r="AB2230" s="702">
        <v>18207848</v>
      </c>
      <c r="AC2230" s="702"/>
      <c r="AD2230" s="702"/>
      <c r="AE2230" s="702">
        <v>-18207848</v>
      </c>
      <c r="AF2230" s="704"/>
      <c r="AG2230" s="219">
        <f t="shared" si="2595"/>
        <v>0</v>
      </c>
      <c r="AH2230" s="219">
        <f t="shared" si="2596"/>
        <v>0</v>
      </c>
      <c r="AI2230" s="219"/>
      <c r="AJ2230" s="777"/>
    </row>
    <row r="2231" spans="1:36" ht="14">
      <c r="A2231" s="677">
        <v>19</v>
      </c>
      <c r="B2231" s="677"/>
      <c r="C2231" s="465"/>
      <c r="D2231" s="605">
        <v>5</v>
      </c>
      <c r="E2231" s="605" t="s">
        <v>199</v>
      </c>
      <c r="F2231" s="459" t="s">
        <v>598</v>
      </c>
      <c r="G2231" s="669"/>
      <c r="H2231" s="669"/>
      <c r="I2231" s="669"/>
      <c r="J2231" s="680"/>
      <c r="K2231" s="679"/>
      <c r="L2231" s="678"/>
      <c r="M2231" s="678">
        <v>35078416</v>
      </c>
      <c r="N2231" s="678"/>
      <c r="O2231" s="678"/>
      <c r="P2231" s="678"/>
      <c r="Q2231" s="678"/>
      <c r="R2231" s="667"/>
      <c r="S2231" s="219">
        <f t="shared" si="2591"/>
        <v>35078416</v>
      </c>
      <c r="T2231" s="219">
        <f t="shared" si="2592"/>
        <v>35078416</v>
      </c>
      <c r="U2231" s="678"/>
      <c r="V2231" s="678"/>
      <c r="W2231" s="678"/>
      <c r="X2231" s="678"/>
      <c r="Y2231" s="667"/>
      <c r="Z2231" s="219">
        <f>SUM(U2231:Y2231)</f>
        <v>0</v>
      </c>
      <c r="AA2231" s="219">
        <f>Z2231+T2231</f>
        <v>35078416</v>
      </c>
      <c r="AB2231" s="702"/>
      <c r="AC2231" s="702"/>
      <c r="AD2231" s="702"/>
      <c r="AE2231" s="702"/>
      <c r="AF2231" s="704"/>
      <c r="AG2231" s="219">
        <f t="shared" si="2595"/>
        <v>0</v>
      </c>
      <c r="AH2231" s="219">
        <f t="shared" si="2596"/>
        <v>35078416</v>
      </c>
      <c r="AI2231" s="219"/>
      <c r="AJ2231" s="777"/>
    </row>
    <row r="2232" spans="1:36" ht="14">
      <c r="A2232" s="677">
        <v>20</v>
      </c>
      <c r="B2232" s="677"/>
      <c r="C2232" s="465"/>
      <c r="D2232" s="605">
        <v>5</v>
      </c>
      <c r="E2232" s="605" t="s">
        <v>199</v>
      </c>
      <c r="F2232" s="459" t="s">
        <v>589</v>
      </c>
      <c r="G2232" s="669"/>
      <c r="H2232" s="669"/>
      <c r="I2232" s="669"/>
      <c r="J2232" s="680"/>
      <c r="K2232" s="679"/>
      <c r="L2232" s="678"/>
      <c r="M2232" s="678">
        <v>58000</v>
      </c>
      <c r="N2232" s="678"/>
      <c r="O2232" s="678"/>
      <c r="P2232" s="678"/>
      <c r="Q2232" s="678"/>
      <c r="R2232" s="667"/>
      <c r="S2232" s="219">
        <f t="shared" si="2591"/>
        <v>58000</v>
      </c>
      <c r="T2232" s="219">
        <f t="shared" si="2592"/>
        <v>58000</v>
      </c>
      <c r="U2232" s="678"/>
      <c r="V2232" s="678"/>
      <c r="W2232" s="678"/>
      <c r="X2232" s="678"/>
      <c r="Y2232" s="667"/>
      <c r="Z2232" s="219">
        <f>SUM(U2232:Y2232)</f>
        <v>0</v>
      </c>
      <c r="AA2232" s="219">
        <f>Z2232+T2232</f>
        <v>58000</v>
      </c>
      <c r="AB2232" s="702"/>
      <c r="AC2232" s="702"/>
      <c r="AD2232" s="702"/>
      <c r="AE2232" s="702"/>
      <c r="AF2232" s="704"/>
      <c r="AG2232" s="219">
        <f t="shared" si="2595"/>
        <v>0</v>
      </c>
      <c r="AH2232" s="219">
        <f t="shared" si="2596"/>
        <v>58000</v>
      </c>
      <c r="AI2232" s="219"/>
      <c r="AJ2232" s="777"/>
    </row>
    <row r="2233" spans="1:36" ht="14">
      <c r="A2233" s="40"/>
      <c r="B2233" s="40"/>
      <c r="C2233" s="124"/>
      <c r="D2233" s="124"/>
      <c r="E2233" s="124"/>
      <c r="F2233" s="41"/>
      <c r="G2233" s="41"/>
      <c r="H2233" s="66"/>
      <c r="I2233" s="41"/>
      <c r="J2233" s="126"/>
      <c r="K2233" s="204"/>
      <c r="L2233" s="574"/>
      <c r="M2233" s="574"/>
      <c r="N2233" s="574"/>
      <c r="O2233" s="574"/>
      <c r="P2233" s="574"/>
      <c r="Q2233" s="574"/>
      <c r="R2233" s="574"/>
      <c r="S2233" s="574"/>
      <c r="T2233" s="574"/>
      <c r="U2233" s="574"/>
      <c r="V2233" s="574"/>
      <c r="W2233" s="574"/>
      <c r="X2233" s="574"/>
      <c r="Y2233" s="574"/>
      <c r="Z2233" s="574"/>
      <c r="AA2233" s="574"/>
      <c r="AB2233" s="574"/>
      <c r="AC2233" s="574"/>
      <c r="AD2233" s="574"/>
      <c r="AE2233" s="574"/>
      <c r="AF2233" s="574"/>
      <c r="AG2233" s="574"/>
      <c r="AH2233" s="574"/>
      <c r="AI2233" s="574"/>
      <c r="AJ2233" s="787"/>
    </row>
    <row r="2234" spans="1:36" s="422" customFormat="1" ht="14">
      <c r="A2234" s="509"/>
      <c r="B2234" s="670"/>
      <c r="C2234" s="510"/>
      <c r="D2234" s="510"/>
      <c r="E2234" s="510"/>
      <c r="F2234" s="937" t="s">
        <v>200</v>
      </c>
      <c r="G2234" s="937"/>
      <c r="H2234" s="937"/>
      <c r="I2234" s="938"/>
      <c r="J2234" s="511">
        <f>J2238-J2236</f>
        <v>309258909</v>
      </c>
      <c r="K2234" s="512">
        <f t="shared" ref="K2234:L2234" si="2598">K2238-K2236</f>
        <v>701562838</v>
      </c>
      <c r="L2234" s="223">
        <f t="shared" si="2598"/>
        <v>1010821747</v>
      </c>
      <c r="M2234" s="223">
        <f t="shared" ref="M2234:U2234" si="2599">M2238-M2236</f>
        <v>178049369</v>
      </c>
      <c r="N2234" s="223">
        <f t="shared" si="2599"/>
        <v>110324521</v>
      </c>
      <c r="O2234" s="223">
        <f t="shared" si="2599"/>
        <v>-81229136</v>
      </c>
      <c r="P2234" s="223">
        <f t="shared" si="2599"/>
        <v>4526466</v>
      </c>
      <c r="Q2234" s="223">
        <f t="shared" si="2599"/>
        <v>-151269701</v>
      </c>
      <c r="R2234" s="223">
        <f t="shared" si="2599"/>
        <v>0</v>
      </c>
      <c r="S2234" s="223">
        <f t="shared" si="2599"/>
        <v>60401519</v>
      </c>
      <c r="T2234" s="223">
        <f t="shared" si="2599"/>
        <v>1071223266</v>
      </c>
      <c r="U2234" s="223">
        <f t="shared" si="2599"/>
        <v>100193714</v>
      </c>
      <c r="V2234" s="223">
        <f t="shared" ref="V2234:Z2234" si="2600">V2238-V2236</f>
        <v>-50314843</v>
      </c>
      <c r="W2234" s="223">
        <f t="shared" si="2600"/>
        <v>0</v>
      </c>
      <c r="X2234" s="223">
        <f t="shared" si="2600"/>
        <v>-268379670</v>
      </c>
      <c r="Y2234" s="223">
        <f t="shared" si="2600"/>
        <v>0</v>
      </c>
      <c r="Z2234" s="223">
        <f t="shared" si="2600"/>
        <v>-218500799</v>
      </c>
      <c r="AA2234" s="223">
        <f t="shared" ref="AA2234:AG2234" si="2601">AA2238-AA2236</f>
        <v>852722467</v>
      </c>
      <c r="AB2234" s="223">
        <f t="shared" si="2601"/>
        <v>50327197</v>
      </c>
      <c r="AC2234" s="223">
        <f t="shared" si="2601"/>
        <v>-55668822</v>
      </c>
      <c r="AD2234" s="223">
        <f t="shared" si="2601"/>
        <v>0</v>
      </c>
      <c r="AE2234" s="223">
        <f t="shared" si="2601"/>
        <v>-239878954</v>
      </c>
      <c r="AF2234" s="223">
        <f t="shared" si="2601"/>
        <v>0</v>
      </c>
      <c r="AG2234" s="223">
        <f t="shared" si="2601"/>
        <v>-245220579</v>
      </c>
      <c r="AH2234" s="223">
        <f t="shared" ref="AH2234" si="2602">AH2238-AH2236</f>
        <v>607501888</v>
      </c>
      <c r="AI2234" s="223"/>
      <c r="AJ2234" s="778"/>
    </row>
    <row r="2235" spans="1:36" s="422" customFormat="1" ht="14">
      <c r="A2235" s="40"/>
      <c r="B2235" s="40"/>
      <c r="C2235" s="124"/>
      <c r="D2235" s="124"/>
      <c r="E2235" s="124"/>
      <c r="F2235" s="41"/>
      <c r="G2235" s="41"/>
      <c r="H2235" s="66"/>
      <c r="I2235" s="41"/>
      <c r="J2235" s="126"/>
      <c r="K2235" s="204"/>
      <c r="L2235" s="205"/>
      <c r="M2235" s="205"/>
      <c r="N2235" s="205"/>
      <c r="O2235" s="205"/>
      <c r="P2235" s="205"/>
      <c r="Q2235" s="205"/>
      <c r="R2235" s="205"/>
      <c r="S2235" s="205"/>
      <c r="T2235" s="205"/>
      <c r="U2235" s="205"/>
      <c r="V2235" s="205"/>
      <c r="W2235" s="205"/>
      <c r="X2235" s="205"/>
      <c r="Y2235" s="205"/>
      <c r="Z2235" s="205"/>
      <c r="AA2235" s="205"/>
      <c r="AB2235" s="205"/>
      <c r="AC2235" s="205"/>
      <c r="AD2235" s="205"/>
      <c r="AE2235" s="205"/>
      <c r="AF2235" s="205"/>
      <c r="AG2235" s="205"/>
      <c r="AH2235" s="205"/>
      <c r="AI2235" s="205"/>
      <c r="AJ2235" s="747"/>
    </row>
    <row r="2236" spans="1:36" s="422" customFormat="1" ht="14">
      <c r="A2236" s="509"/>
      <c r="B2236" s="670"/>
      <c r="C2236" s="510"/>
      <c r="D2236" s="510"/>
      <c r="E2236" s="510"/>
      <c r="F2236" s="937" t="s">
        <v>201</v>
      </c>
      <c r="G2236" s="937"/>
      <c r="H2236" s="937"/>
      <c r="I2236" s="938"/>
      <c r="J2236" s="511">
        <f>J2221+J2212+J2213</f>
        <v>17000000</v>
      </c>
      <c r="K2236" s="512">
        <f>K2221+K2212+K2213</f>
        <v>0</v>
      </c>
      <c r="L2236" s="223">
        <f>L2221+L2212+L2213</f>
        <v>17000000</v>
      </c>
      <c r="M2236" s="223">
        <f>M2221+M2212+M2213</f>
        <v>14815250</v>
      </c>
      <c r="N2236" s="223">
        <f t="shared" ref="N2236:U2236" si="2603">N2221+N2212+N2213</f>
        <v>0</v>
      </c>
      <c r="O2236" s="223">
        <f t="shared" si="2603"/>
        <v>-250000</v>
      </c>
      <c r="P2236" s="223">
        <f t="shared" si="2603"/>
        <v>0</v>
      </c>
      <c r="Q2236" s="223">
        <f t="shared" si="2603"/>
        <v>-1350000</v>
      </c>
      <c r="R2236" s="223">
        <f t="shared" si="2603"/>
        <v>0</v>
      </c>
      <c r="S2236" s="223">
        <f t="shared" si="2603"/>
        <v>13215250</v>
      </c>
      <c r="T2236" s="223">
        <f t="shared" si="2603"/>
        <v>30215250</v>
      </c>
      <c r="U2236" s="223">
        <f t="shared" si="2603"/>
        <v>0</v>
      </c>
      <c r="V2236" s="223">
        <f t="shared" ref="V2236:Z2236" si="2604">V2221+V2212+V2213</f>
        <v>-10730400</v>
      </c>
      <c r="W2236" s="223">
        <f t="shared" si="2604"/>
        <v>0</v>
      </c>
      <c r="X2236" s="223">
        <f t="shared" si="2604"/>
        <v>-2995000</v>
      </c>
      <c r="Y2236" s="223">
        <f t="shared" si="2604"/>
        <v>0</v>
      </c>
      <c r="Z2236" s="223">
        <f t="shared" si="2604"/>
        <v>-13725400</v>
      </c>
      <c r="AA2236" s="223">
        <f t="shared" ref="AA2236:AG2236" si="2605">AA2221+AA2212+AA2213</f>
        <v>16489850</v>
      </c>
      <c r="AB2236" s="223">
        <f t="shared" si="2605"/>
        <v>0</v>
      </c>
      <c r="AC2236" s="223">
        <f t="shared" si="2605"/>
        <v>-7000000</v>
      </c>
      <c r="AD2236" s="223">
        <f t="shared" si="2605"/>
        <v>0</v>
      </c>
      <c r="AE2236" s="223">
        <f t="shared" si="2605"/>
        <v>-5272070</v>
      </c>
      <c r="AF2236" s="223">
        <f t="shared" si="2605"/>
        <v>0</v>
      </c>
      <c r="AG2236" s="223">
        <f t="shared" si="2605"/>
        <v>-12272070</v>
      </c>
      <c r="AH2236" s="223">
        <f t="shared" ref="AH2236" si="2606">AH2221+AH2212+AH2213</f>
        <v>4217780</v>
      </c>
      <c r="AI2236" s="223"/>
      <c r="AJ2236" s="778"/>
    </row>
    <row r="2237" spans="1:36" ht="14.5" thickBot="1">
      <c r="A2237" s="677"/>
      <c r="B2237" s="677"/>
      <c r="C2237" s="465"/>
      <c r="D2237" s="465"/>
      <c r="E2237" s="465"/>
      <c r="F2237" s="942"/>
      <c r="G2237" s="935"/>
      <c r="H2237" s="935"/>
      <c r="I2237" s="936"/>
      <c r="J2237" s="452"/>
      <c r="K2237" s="453"/>
      <c r="L2237" s="454"/>
      <c r="M2237" s="454"/>
      <c r="N2237" s="454"/>
      <c r="O2237" s="454"/>
      <c r="P2237" s="454"/>
      <c r="Q2237" s="454"/>
      <c r="R2237" s="454"/>
      <c r="S2237" s="454"/>
      <c r="T2237" s="454"/>
      <c r="U2237" s="454"/>
      <c r="V2237" s="454"/>
      <c r="W2237" s="454"/>
      <c r="X2237" s="454"/>
      <c r="Y2237" s="454"/>
      <c r="Z2237" s="454"/>
      <c r="AA2237" s="454"/>
      <c r="AB2237" s="454"/>
      <c r="AC2237" s="454"/>
      <c r="AD2237" s="454"/>
      <c r="AE2237" s="454"/>
      <c r="AF2237" s="454"/>
      <c r="AG2237" s="454"/>
      <c r="AH2237" s="454"/>
      <c r="AI2237" s="454"/>
      <c r="AJ2237" s="769"/>
    </row>
    <row r="2238" spans="1:36" ht="14.5" thickBot="1">
      <c r="A2238" s="589"/>
      <c r="B2238" s="675"/>
      <c r="C2238" s="590"/>
      <c r="D2238" s="590"/>
      <c r="E2238" s="590"/>
      <c r="F2238" s="965" t="s">
        <v>103</v>
      </c>
      <c r="G2238" s="965"/>
      <c r="H2238" s="965"/>
      <c r="I2238" s="966"/>
      <c r="J2238" s="592">
        <f>SUM(J2211:J2227)</f>
        <v>326258909</v>
      </c>
      <c r="K2238" s="593">
        <f>SUM(K2211:K2227)</f>
        <v>701562838</v>
      </c>
      <c r="L2238" s="594">
        <f>SUM(L2211:L2227)</f>
        <v>1027821747</v>
      </c>
      <c r="M2238" s="594">
        <f>SUM(M2211:M2232)</f>
        <v>192864619</v>
      </c>
      <c r="N2238" s="594">
        <f t="shared" ref="N2238:U2238" si="2607">SUM(N2211:N2232)</f>
        <v>110324521</v>
      </c>
      <c r="O2238" s="594">
        <f t="shared" si="2607"/>
        <v>-81479136</v>
      </c>
      <c r="P2238" s="594">
        <f t="shared" si="2607"/>
        <v>4526466</v>
      </c>
      <c r="Q2238" s="594">
        <f t="shared" si="2607"/>
        <v>-152619701</v>
      </c>
      <c r="R2238" s="594">
        <f t="shared" si="2607"/>
        <v>0</v>
      </c>
      <c r="S2238" s="594">
        <f t="shared" si="2607"/>
        <v>73616769</v>
      </c>
      <c r="T2238" s="594">
        <f t="shared" si="2607"/>
        <v>1101438516</v>
      </c>
      <c r="U2238" s="594">
        <f t="shared" si="2607"/>
        <v>100193714</v>
      </c>
      <c r="V2238" s="594">
        <f t="shared" ref="V2238:Z2238" si="2608">SUM(V2211:V2232)</f>
        <v>-61045243</v>
      </c>
      <c r="W2238" s="594">
        <f t="shared" si="2608"/>
        <v>0</v>
      </c>
      <c r="X2238" s="594">
        <f t="shared" si="2608"/>
        <v>-271374670</v>
      </c>
      <c r="Y2238" s="594">
        <f t="shared" si="2608"/>
        <v>0</v>
      </c>
      <c r="Z2238" s="594">
        <f t="shared" si="2608"/>
        <v>-232226199</v>
      </c>
      <c r="AA2238" s="594">
        <f t="shared" ref="AA2238:AG2238" si="2609">SUM(AA2211:AA2232)</f>
        <v>869212317</v>
      </c>
      <c r="AB2238" s="594">
        <f t="shared" si="2609"/>
        <v>50327197</v>
      </c>
      <c r="AC2238" s="594">
        <f t="shared" si="2609"/>
        <v>-62668822</v>
      </c>
      <c r="AD2238" s="594">
        <f t="shared" si="2609"/>
        <v>0</v>
      </c>
      <c r="AE2238" s="594">
        <f t="shared" si="2609"/>
        <v>-245151024</v>
      </c>
      <c r="AF2238" s="594">
        <f t="shared" si="2609"/>
        <v>0</v>
      </c>
      <c r="AG2238" s="594">
        <f t="shared" si="2609"/>
        <v>-257492649</v>
      </c>
      <c r="AH2238" s="594">
        <f t="shared" ref="AH2238" si="2610">SUM(AH2211:AH2232)</f>
        <v>611719668</v>
      </c>
      <c r="AI2238" s="594"/>
      <c r="AJ2238" s="793"/>
    </row>
    <row r="2239" spans="1:36" ht="17.5" customHeight="1">
      <c r="A2239" s="608"/>
      <c r="B2239" s="608"/>
      <c r="C2239" s="609"/>
      <c r="D2239" s="609"/>
      <c r="E2239" s="609"/>
      <c r="F2239" s="610"/>
      <c r="G2239" s="611"/>
      <c r="H2239" s="611"/>
      <c r="I2239" s="612"/>
      <c r="J2239" s="613"/>
      <c r="K2239" s="614"/>
      <c r="L2239" s="615"/>
      <c r="M2239" s="615"/>
      <c r="N2239" s="615"/>
      <c r="O2239" s="615"/>
      <c r="P2239" s="615"/>
      <c r="Q2239" s="615"/>
      <c r="R2239" s="615"/>
      <c r="S2239" s="615"/>
      <c r="T2239" s="615"/>
      <c r="U2239" s="615"/>
      <c r="V2239" s="615"/>
      <c r="W2239" s="615"/>
      <c r="X2239" s="615"/>
      <c r="Y2239" s="615"/>
      <c r="Z2239" s="615"/>
      <c r="AA2239" s="615"/>
      <c r="AB2239" s="615"/>
      <c r="AC2239" s="615"/>
      <c r="AD2239" s="615"/>
      <c r="AE2239" s="615"/>
      <c r="AF2239" s="615"/>
      <c r="AG2239" s="615"/>
      <c r="AH2239" s="615"/>
      <c r="AI2239" s="615"/>
      <c r="AJ2239" s="795"/>
    </row>
    <row r="2240" spans="1:36" ht="15.75" customHeight="1">
      <c r="A2240" s="616"/>
      <c r="B2240" s="616"/>
      <c r="C2240" s="617"/>
      <c r="D2240" s="617"/>
      <c r="E2240" s="617"/>
      <c r="F2240" s="618" t="s">
        <v>302</v>
      </c>
      <c r="G2240" s="443"/>
      <c r="H2240" s="444"/>
      <c r="I2240" s="619"/>
      <c r="J2240" s="620"/>
      <c r="K2240" s="621"/>
      <c r="L2240" s="447"/>
      <c r="M2240" s="447"/>
      <c r="N2240" s="447"/>
      <c r="O2240" s="447"/>
      <c r="P2240" s="447"/>
      <c r="Q2240" s="447"/>
      <c r="R2240" s="447"/>
      <c r="S2240" s="447"/>
      <c r="T2240" s="447"/>
      <c r="U2240" s="447"/>
      <c r="V2240" s="447"/>
      <c r="W2240" s="447"/>
      <c r="X2240" s="447"/>
      <c r="Y2240" s="447"/>
      <c r="Z2240" s="447"/>
      <c r="AA2240" s="447"/>
      <c r="AB2240" s="447"/>
      <c r="AC2240" s="447"/>
      <c r="AD2240" s="447"/>
      <c r="AE2240" s="447"/>
      <c r="AF2240" s="447"/>
      <c r="AG2240" s="447"/>
      <c r="AH2240" s="447"/>
      <c r="AI2240" s="447"/>
      <c r="AJ2240" s="768"/>
    </row>
    <row r="2241" spans="1:36" ht="15.75" customHeight="1">
      <c r="A2241" s="616"/>
      <c r="B2241" s="616"/>
      <c r="C2241" s="617"/>
      <c r="D2241" s="617"/>
      <c r="E2241" s="617"/>
      <c r="F2241" s="618"/>
      <c r="G2241" s="443"/>
      <c r="H2241" s="444"/>
      <c r="I2241" s="619"/>
      <c r="J2241" s="620"/>
      <c r="K2241" s="621"/>
      <c r="L2241" s="447"/>
      <c r="M2241" s="447"/>
      <c r="N2241" s="447"/>
      <c r="O2241" s="447"/>
      <c r="P2241" s="447"/>
      <c r="Q2241" s="540"/>
      <c r="R2241" s="540"/>
      <c r="S2241" s="540"/>
      <c r="T2241" s="540"/>
      <c r="U2241" s="447"/>
      <c r="V2241" s="447"/>
      <c r="W2241" s="447"/>
      <c r="X2241" s="540"/>
      <c r="Y2241" s="540"/>
      <c r="Z2241" s="540"/>
      <c r="AA2241" s="540"/>
      <c r="AB2241" s="447"/>
      <c r="AC2241" s="447"/>
      <c r="AD2241" s="447"/>
      <c r="AE2241" s="540"/>
      <c r="AF2241" s="540"/>
      <c r="AG2241" s="540"/>
      <c r="AH2241" s="540"/>
      <c r="AI2241" s="540"/>
      <c r="AJ2241" s="781"/>
    </row>
    <row r="2242" spans="1:36" s="811" customFormat="1" ht="17" customHeight="1">
      <c r="A2242" s="624">
        <v>1</v>
      </c>
      <c r="B2242" s="624"/>
      <c r="C2242" s="625"/>
      <c r="D2242" s="804">
        <v>9</v>
      </c>
      <c r="E2242" s="804" t="s">
        <v>199</v>
      </c>
      <c r="F2242" s="805" t="s">
        <v>370</v>
      </c>
      <c r="G2242" s="806"/>
      <c r="H2242" s="807"/>
      <c r="I2242" s="808"/>
      <c r="J2242" s="809"/>
      <c r="K2242" s="810">
        <v>227660800</v>
      </c>
      <c r="L2242" s="607">
        <f>SUM(K2242)</f>
        <v>227660800</v>
      </c>
      <c r="M2242" s="607">
        <v>52065200</v>
      </c>
      <c r="N2242" s="607"/>
      <c r="O2242" s="607"/>
      <c r="P2242" s="607"/>
      <c r="Q2242" s="205"/>
      <c r="R2242" s="205"/>
      <c r="S2242" s="421">
        <f t="shared" ref="S2242:S2244" si="2611">SUM(M2242:R2242)</f>
        <v>52065200</v>
      </c>
      <c r="T2242" s="421">
        <f t="shared" ref="T2242:T2244" si="2612">S2242+L2242</f>
        <v>279726000</v>
      </c>
      <c r="U2242" s="607"/>
      <c r="V2242" s="607"/>
      <c r="W2242" s="607"/>
      <c r="X2242" s="205"/>
      <c r="Y2242" s="205"/>
      <c r="Z2242" s="421">
        <f>SUM(U2242:Y2242)</f>
        <v>0</v>
      </c>
      <c r="AA2242" s="421">
        <f>Z2242+T2242</f>
        <v>279726000</v>
      </c>
      <c r="AB2242" s="607"/>
      <c r="AC2242" s="607"/>
      <c r="AD2242" s="607"/>
      <c r="AE2242" s="205"/>
      <c r="AF2242" s="205"/>
      <c r="AG2242" s="219">
        <f t="shared" ref="AG2242:AG2244" si="2613">SUM(AB2242:AF2242)</f>
        <v>0</v>
      </c>
      <c r="AH2242" s="219">
        <f t="shared" ref="AH2242:AH2244" si="2614">AG2242+AA2242</f>
        <v>279726000</v>
      </c>
      <c r="AI2242" s="421">
        <v>208260800</v>
      </c>
      <c r="AJ2242" s="766">
        <f>AI2242/AH2242*100</f>
        <v>74.451713462459693</v>
      </c>
    </row>
    <row r="2243" spans="1:36" s="811" customFormat="1" ht="17" customHeight="1">
      <c r="A2243" s="624">
        <v>2</v>
      </c>
      <c r="B2243" s="624"/>
      <c r="C2243" s="625"/>
      <c r="D2243" s="804">
        <v>9</v>
      </c>
      <c r="E2243" s="804" t="s">
        <v>199</v>
      </c>
      <c r="F2243" s="805" t="s">
        <v>445</v>
      </c>
      <c r="G2243" s="806"/>
      <c r="H2243" s="807"/>
      <c r="I2243" s="808"/>
      <c r="J2243" s="809">
        <v>1600000000</v>
      </c>
      <c r="K2243" s="810"/>
      <c r="L2243" s="607">
        <f>SUM(J2243:K2243)</f>
        <v>1600000000</v>
      </c>
      <c r="M2243" s="607"/>
      <c r="N2243" s="607"/>
      <c r="O2243" s="607"/>
      <c r="P2243" s="607"/>
      <c r="Q2243" s="205">
        <v>6950069686</v>
      </c>
      <c r="R2243" s="205"/>
      <c r="S2243" s="421">
        <f t="shared" si="2611"/>
        <v>6950069686</v>
      </c>
      <c r="T2243" s="421">
        <f t="shared" si="2612"/>
        <v>8550069686</v>
      </c>
      <c r="U2243" s="607"/>
      <c r="V2243" s="607"/>
      <c r="W2243" s="607"/>
      <c r="X2243" s="205">
        <v>1200000000</v>
      </c>
      <c r="Y2243" s="205"/>
      <c r="Z2243" s="421">
        <f>SUM(U2243:Y2243)</f>
        <v>1200000000</v>
      </c>
      <c r="AA2243" s="421">
        <f>Z2243+T2243</f>
        <v>9750069686</v>
      </c>
      <c r="AB2243" s="607"/>
      <c r="AC2243" s="607"/>
      <c r="AD2243" s="607"/>
      <c r="AE2243" s="205">
        <v>300000000</v>
      </c>
      <c r="AF2243" s="205"/>
      <c r="AG2243" s="219">
        <f t="shared" si="2613"/>
        <v>300000000</v>
      </c>
      <c r="AH2243" s="219">
        <f t="shared" si="2614"/>
        <v>10050069686</v>
      </c>
      <c r="AI2243" s="421">
        <v>10050069686</v>
      </c>
      <c r="AJ2243" s="766">
        <f t="shared" ref="AJ2243:AJ2244" si="2615">AI2243/AH2243*100</f>
        <v>100</v>
      </c>
    </row>
    <row r="2244" spans="1:36" s="811" customFormat="1" ht="17" customHeight="1">
      <c r="A2244" s="624">
        <v>3</v>
      </c>
      <c r="B2244" s="624"/>
      <c r="C2244" s="625"/>
      <c r="D2244" s="804">
        <v>9</v>
      </c>
      <c r="E2244" s="804" t="s">
        <v>199</v>
      </c>
      <c r="F2244" s="805" t="s">
        <v>481</v>
      </c>
      <c r="G2244" s="806"/>
      <c r="H2244" s="807"/>
      <c r="I2244" s="808"/>
      <c r="J2244" s="809">
        <v>98509699</v>
      </c>
      <c r="K2244" s="810"/>
      <c r="L2244" s="607">
        <f>SUM(J2244:K2244)</f>
        <v>98509699</v>
      </c>
      <c r="M2244" s="607"/>
      <c r="N2244" s="607"/>
      <c r="O2244" s="607"/>
      <c r="P2244" s="607"/>
      <c r="Q2244" s="205"/>
      <c r="R2244" s="205"/>
      <c r="S2244" s="421">
        <f t="shared" si="2611"/>
        <v>0</v>
      </c>
      <c r="T2244" s="421">
        <f t="shared" si="2612"/>
        <v>98509699</v>
      </c>
      <c r="U2244" s="607"/>
      <c r="V2244" s="607"/>
      <c r="W2244" s="607"/>
      <c r="X2244" s="205"/>
      <c r="Y2244" s="205"/>
      <c r="Z2244" s="421">
        <f>SUM(U2244:Y2244)</f>
        <v>0</v>
      </c>
      <c r="AA2244" s="421">
        <f>Z2244+T2244</f>
        <v>98509699</v>
      </c>
      <c r="AB2244" s="607"/>
      <c r="AC2244" s="607"/>
      <c r="AD2244" s="607"/>
      <c r="AE2244" s="205"/>
      <c r="AF2244" s="205"/>
      <c r="AG2244" s="219">
        <f t="shared" si="2613"/>
        <v>0</v>
      </c>
      <c r="AH2244" s="219">
        <f t="shared" si="2614"/>
        <v>98509699</v>
      </c>
      <c r="AI2244" s="421">
        <v>98509699</v>
      </c>
      <c r="AJ2244" s="766">
        <f t="shared" si="2615"/>
        <v>100</v>
      </c>
    </row>
    <row r="2245" spans="1:36" s="811" customFormat="1" ht="17" customHeight="1">
      <c r="A2245" s="624">
        <v>4</v>
      </c>
      <c r="B2245" s="624"/>
      <c r="C2245" s="625"/>
      <c r="D2245" s="804">
        <v>9</v>
      </c>
      <c r="E2245" s="804" t="s">
        <v>199</v>
      </c>
      <c r="F2245" s="805" t="s">
        <v>719</v>
      </c>
      <c r="G2245" s="806"/>
      <c r="H2245" s="807"/>
      <c r="I2245" s="808"/>
      <c r="J2245" s="809"/>
      <c r="K2245" s="812"/>
      <c r="L2245" s="607"/>
      <c r="M2245" s="607"/>
      <c r="N2245" s="607"/>
      <c r="O2245" s="607"/>
      <c r="P2245" s="607"/>
      <c r="Q2245" s="205"/>
      <c r="R2245" s="205"/>
      <c r="S2245" s="421"/>
      <c r="T2245" s="421"/>
      <c r="U2245" s="607"/>
      <c r="V2245" s="607"/>
      <c r="W2245" s="607"/>
      <c r="X2245" s="205"/>
      <c r="Y2245" s="205"/>
      <c r="Z2245" s="421"/>
      <c r="AA2245" s="421"/>
      <c r="AB2245" s="607">
        <v>88615106</v>
      </c>
      <c r="AC2245" s="607"/>
      <c r="AD2245" s="607"/>
      <c r="AE2245" s="205"/>
      <c r="AF2245" s="205"/>
      <c r="AG2245" s="219">
        <f t="shared" ref="AG2245" si="2616">SUM(AB2245:AF2245)</f>
        <v>88615106</v>
      </c>
      <c r="AH2245" s="219">
        <f t="shared" ref="AH2245" si="2617">AG2245+AA2245</f>
        <v>88615106</v>
      </c>
      <c r="AI2245" s="421"/>
      <c r="AJ2245" s="766"/>
    </row>
    <row r="2246" spans="1:36" s="422" customFormat="1" ht="15.75" customHeight="1">
      <c r="A2246" s="616"/>
      <c r="B2246" s="616"/>
      <c r="C2246" s="617"/>
      <c r="D2246" s="622"/>
      <c r="E2246" s="622"/>
      <c r="F2246" s="623"/>
      <c r="G2246" s="443"/>
      <c r="H2246" s="444"/>
      <c r="I2246" s="619"/>
      <c r="J2246" s="620"/>
      <c r="K2246" s="621"/>
      <c r="L2246" s="447"/>
      <c r="M2246" s="447"/>
      <c r="N2246" s="447"/>
      <c r="O2246" s="447"/>
      <c r="P2246" s="447"/>
      <c r="Q2246" s="447"/>
      <c r="R2246" s="447"/>
      <c r="S2246" s="447"/>
      <c r="T2246" s="447"/>
      <c r="U2246" s="447"/>
      <c r="V2246" s="447"/>
      <c r="W2246" s="447"/>
      <c r="X2246" s="447"/>
      <c r="Y2246" s="447"/>
      <c r="Z2246" s="447"/>
      <c r="AA2246" s="447"/>
      <c r="AB2246" s="447"/>
      <c r="AC2246" s="447"/>
      <c r="AD2246" s="447"/>
      <c r="AE2246" s="447"/>
      <c r="AF2246" s="447"/>
      <c r="AG2246" s="447"/>
      <c r="AH2246" s="447"/>
      <c r="AI2246" s="447"/>
      <c r="AJ2246" s="768"/>
    </row>
    <row r="2247" spans="1:36" s="45" customFormat="1" ht="15.75" customHeight="1">
      <c r="A2247" s="665"/>
      <c r="B2247" s="666"/>
      <c r="C2247" s="301"/>
      <c r="D2247" s="301"/>
      <c r="E2247" s="301"/>
      <c r="F2247" s="877" t="s">
        <v>200</v>
      </c>
      <c r="G2247" s="877"/>
      <c r="H2247" s="877"/>
      <c r="I2247" s="878"/>
      <c r="J2247" s="51">
        <f>SUM(J2242:J2244)</f>
        <v>1698509699</v>
      </c>
      <c r="K2247" s="51">
        <f>SUM(K2242:K2244)</f>
        <v>227660800</v>
      </c>
      <c r="L2247" s="51">
        <f>SUM(L2242:L2244)</f>
        <v>1926170499</v>
      </c>
      <c r="M2247" s="51">
        <f t="shared" ref="M2247:T2247" si="2618">SUM(M2242:M2244)</f>
        <v>52065200</v>
      </c>
      <c r="N2247" s="51">
        <f t="shared" si="2618"/>
        <v>0</v>
      </c>
      <c r="O2247" s="51">
        <f t="shared" si="2618"/>
        <v>0</v>
      </c>
      <c r="P2247" s="51">
        <f t="shared" si="2618"/>
        <v>0</v>
      </c>
      <c r="Q2247" s="51">
        <f t="shared" si="2618"/>
        <v>6950069686</v>
      </c>
      <c r="R2247" s="51">
        <f t="shared" si="2618"/>
        <v>0</v>
      </c>
      <c r="S2247" s="51">
        <f t="shared" si="2618"/>
        <v>7002134886</v>
      </c>
      <c r="T2247" s="51">
        <f t="shared" si="2618"/>
        <v>8928305385</v>
      </c>
      <c r="U2247" s="51"/>
      <c r="V2247" s="51"/>
      <c r="W2247" s="51"/>
      <c r="X2247" s="51">
        <f t="shared" ref="X2247" si="2619">SUM(X2242:X2244)</f>
        <v>1200000000</v>
      </c>
      <c r="Y2247" s="51"/>
      <c r="Z2247" s="51">
        <f t="shared" ref="Z2247" si="2620">SUM(Z2242:Z2244)</f>
        <v>1200000000</v>
      </c>
      <c r="AA2247" s="51">
        <f>SUM(AA2242:AA2245)</f>
        <v>10128305385</v>
      </c>
      <c r="AB2247" s="51">
        <f t="shared" ref="AB2247:AI2247" si="2621">SUM(AB2242:AB2245)</f>
        <v>88615106</v>
      </c>
      <c r="AC2247" s="51">
        <f t="shared" si="2621"/>
        <v>0</v>
      </c>
      <c r="AD2247" s="51">
        <f t="shared" si="2621"/>
        <v>0</v>
      </c>
      <c r="AE2247" s="51">
        <f t="shared" si="2621"/>
        <v>300000000</v>
      </c>
      <c r="AF2247" s="51">
        <f t="shared" si="2621"/>
        <v>0</v>
      </c>
      <c r="AG2247" s="51">
        <f t="shared" si="2621"/>
        <v>388615106</v>
      </c>
      <c r="AH2247" s="51">
        <f t="shared" si="2621"/>
        <v>10516920491</v>
      </c>
      <c r="AI2247" s="51">
        <f t="shared" si="2621"/>
        <v>10356840185</v>
      </c>
      <c r="AJ2247" s="737">
        <f>AI2247/AH2247*100</f>
        <v>98.477878518364847</v>
      </c>
    </row>
    <row r="2248" spans="1:36" s="387" customFormat="1" ht="15.75" customHeight="1" thickBot="1">
      <c r="A2248" s="578"/>
      <c r="B2248" s="578"/>
      <c r="C2248" s="579"/>
      <c r="D2248" s="579"/>
      <c r="E2248" s="579"/>
      <c r="F2248" s="202"/>
      <c r="G2248" s="202"/>
      <c r="H2248" s="202"/>
      <c r="I2248" s="202"/>
      <c r="J2248" s="635"/>
      <c r="K2248" s="635"/>
      <c r="L2248" s="643"/>
      <c r="M2248" s="643"/>
      <c r="N2248" s="643"/>
      <c r="O2248" s="643"/>
      <c r="P2248" s="644"/>
      <c r="Q2248" s="643"/>
      <c r="R2248" s="643"/>
      <c r="S2248" s="643"/>
      <c r="T2248" s="643"/>
      <c r="U2248" s="643"/>
      <c r="V2248" s="643"/>
      <c r="W2248" s="644"/>
      <c r="X2248" s="643"/>
      <c r="Y2248" s="643"/>
      <c r="Z2248" s="643"/>
      <c r="AA2248" s="643"/>
      <c r="AB2248" s="643"/>
      <c r="AC2248" s="643"/>
      <c r="AD2248" s="644"/>
      <c r="AE2248" s="643"/>
      <c r="AF2248" s="643"/>
      <c r="AG2248" s="643"/>
      <c r="AH2248" s="643"/>
      <c r="AI2248" s="643"/>
      <c r="AJ2248" s="796"/>
    </row>
    <row r="2249" spans="1:36" s="387" customFormat="1" ht="15.75" customHeight="1" thickBot="1">
      <c r="A2249" s="637"/>
      <c r="B2249" s="676"/>
      <c r="C2249" s="638"/>
      <c r="D2249" s="638"/>
      <c r="E2249" s="638"/>
      <c r="F2249" s="967" t="s">
        <v>104</v>
      </c>
      <c r="G2249" s="967"/>
      <c r="H2249" s="967"/>
      <c r="I2249" s="967"/>
      <c r="J2249" s="645">
        <f>J2247</f>
        <v>1698509699</v>
      </c>
      <c r="K2249" s="645">
        <f>K2247</f>
        <v>227660800</v>
      </c>
      <c r="L2249" s="645">
        <f>L2247</f>
        <v>1926170499</v>
      </c>
      <c r="M2249" s="645">
        <f t="shared" ref="M2249:T2249" si="2622">M2247</f>
        <v>52065200</v>
      </c>
      <c r="N2249" s="645">
        <f t="shared" si="2622"/>
        <v>0</v>
      </c>
      <c r="O2249" s="645">
        <f t="shared" si="2622"/>
        <v>0</v>
      </c>
      <c r="P2249" s="645">
        <f t="shared" si="2622"/>
        <v>0</v>
      </c>
      <c r="Q2249" s="636">
        <f t="shared" si="2622"/>
        <v>6950069686</v>
      </c>
      <c r="R2249" s="636">
        <f t="shared" si="2622"/>
        <v>0</v>
      </c>
      <c r="S2249" s="636">
        <f t="shared" si="2622"/>
        <v>7002134886</v>
      </c>
      <c r="T2249" s="636">
        <f t="shared" si="2622"/>
        <v>8928305385</v>
      </c>
      <c r="U2249" s="645"/>
      <c r="V2249" s="645"/>
      <c r="W2249" s="645"/>
      <c r="X2249" s="636">
        <f t="shared" ref="X2249" si="2623">X2247</f>
        <v>1200000000</v>
      </c>
      <c r="Y2249" s="636"/>
      <c r="Z2249" s="636">
        <f t="shared" ref="Z2249:AD2249" si="2624">Z2247</f>
        <v>1200000000</v>
      </c>
      <c r="AA2249" s="636">
        <f t="shared" si="2624"/>
        <v>10128305385</v>
      </c>
      <c r="AB2249" s="636">
        <f t="shared" si="2624"/>
        <v>88615106</v>
      </c>
      <c r="AC2249" s="636">
        <f t="shared" si="2624"/>
        <v>0</v>
      </c>
      <c r="AD2249" s="636">
        <f t="shared" si="2624"/>
        <v>0</v>
      </c>
      <c r="AE2249" s="636">
        <f t="shared" ref="AE2249" si="2625">AE2247</f>
        <v>300000000</v>
      </c>
      <c r="AF2249" s="636"/>
      <c r="AG2249" s="636">
        <f t="shared" ref="AG2249:AI2249" si="2626">AG2247</f>
        <v>388615106</v>
      </c>
      <c r="AH2249" s="636">
        <f t="shared" si="2626"/>
        <v>10516920491</v>
      </c>
      <c r="AI2249" s="636">
        <f t="shared" si="2626"/>
        <v>10356840185</v>
      </c>
      <c r="AJ2249" s="797">
        <f>AI2249/AH2249*100</f>
        <v>98.477878518364847</v>
      </c>
    </row>
    <row r="2250" spans="1:36" s="387" customFormat="1" ht="15.75" hidden="1" customHeight="1">
      <c r="A2250" s="160"/>
      <c r="B2250" s="160"/>
      <c r="C2250" s="161"/>
      <c r="D2250" s="161"/>
      <c r="E2250" s="161"/>
      <c r="F2250" s="202"/>
      <c r="G2250" s="202"/>
      <c r="H2250" s="202"/>
      <c r="I2250" s="202"/>
      <c r="J2250" s="392"/>
      <c r="K2250" s="392"/>
      <c r="L2250" s="392"/>
      <c r="M2250" s="392"/>
      <c r="N2250" s="392"/>
      <c r="O2250" s="392"/>
      <c r="P2250" s="392"/>
      <c r="Q2250" s="205"/>
      <c r="R2250" s="205"/>
      <c r="S2250" s="205"/>
      <c r="T2250" s="205"/>
      <c r="U2250" s="392"/>
      <c r="V2250" s="392"/>
      <c r="W2250" s="392"/>
      <c r="X2250" s="205"/>
      <c r="Y2250" s="205"/>
      <c r="Z2250" s="205"/>
      <c r="AA2250" s="205"/>
      <c r="AB2250" s="392"/>
      <c r="AC2250" s="392"/>
      <c r="AD2250" s="392"/>
      <c r="AE2250" s="205"/>
      <c r="AF2250" s="205"/>
      <c r="AG2250" s="205"/>
      <c r="AH2250" s="205"/>
      <c r="AI2250" s="205"/>
      <c r="AJ2250" s="747"/>
    </row>
    <row r="2251" spans="1:36" s="387" customFormat="1" ht="15.75" customHeight="1">
      <c r="A2251" s="616"/>
      <c r="B2251" s="616"/>
      <c r="C2251" s="617"/>
      <c r="D2251" s="617"/>
      <c r="E2251" s="617"/>
      <c r="F2251" s="202"/>
      <c r="G2251" s="202"/>
      <c r="H2251" s="202"/>
      <c r="I2251" s="202"/>
      <c r="J2251" s="392"/>
      <c r="K2251" s="392"/>
      <c r="L2251" s="205"/>
      <c r="M2251" s="205"/>
      <c r="N2251" s="205"/>
      <c r="O2251" s="205"/>
      <c r="P2251" s="205"/>
      <c r="Q2251" s="205"/>
      <c r="R2251" s="205"/>
      <c r="S2251" s="205"/>
      <c r="T2251" s="205"/>
      <c r="U2251" s="205"/>
      <c r="V2251" s="205"/>
      <c r="W2251" s="205"/>
      <c r="X2251" s="205"/>
      <c r="Y2251" s="205"/>
      <c r="Z2251" s="205"/>
      <c r="AA2251" s="205"/>
      <c r="AB2251" s="205"/>
      <c r="AC2251" s="205"/>
      <c r="AD2251" s="205"/>
      <c r="AE2251" s="205"/>
      <c r="AF2251" s="205"/>
      <c r="AG2251" s="205"/>
      <c r="AH2251" s="205"/>
      <c r="AI2251" s="205"/>
      <c r="AJ2251" s="747"/>
    </row>
    <row r="2252" spans="1:36" ht="15.75" customHeight="1">
      <c r="A2252" s="616"/>
      <c r="B2252" s="616"/>
      <c r="C2252" s="617"/>
      <c r="D2252" s="617"/>
      <c r="E2252" s="617"/>
      <c r="F2252" s="618" t="s">
        <v>482</v>
      </c>
      <c r="G2252" s="443"/>
      <c r="H2252" s="444"/>
      <c r="I2252" s="619"/>
      <c r="J2252" s="620"/>
      <c r="K2252" s="621"/>
      <c r="L2252" s="447"/>
      <c r="M2252" s="447"/>
      <c r="N2252" s="447"/>
      <c r="O2252" s="447"/>
      <c r="P2252" s="447"/>
      <c r="Q2252" s="447"/>
      <c r="R2252" s="447"/>
      <c r="S2252" s="447"/>
      <c r="T2252" s="447"/>
      <c r="U2252" s="447"/>
      <c r="V2252" s="447"/>
      <c r="W2252" s="447"/>
      <c r="X2252" s="447"/>
      <c r="Y2252" s="447"/>
      <c r="Z2252" s="447"/>
      <c r="AA2252" s="447"/>
      <c r="AB2252" s="447"/>
      <c r="AC2252" s="447"/>
      <c r="AD2252" s="447"/>
      <c r="AE2252" s="447"/>
      <c r="AF2252" s="447"/>
      <c r="AG2252" s="447"/>
      <c r="AH2252" s="447"/>
      <c r="AI2252" s="447"/>
      <c r="AJ2252" s="768"/>
    </row>
    <row r="2253" spans="1:36" ht="15.75" customHeight="1">
      <c r="A2253" s="616"/>
      <c r="B2253" s="616"/>
      <c r="C2253" s="617"/>
      <c r="D2253" s="617"/>
      <c r="E2253" s="617"/>
      <c r="F2253" s="618"/>
      <c r="G2253" s="443"/>
      <c r="H2253" s="444"/>
      <c r="I2253" s="619"/>
      <c r="J2253" s="620"/>
      <c r="K2253" s="621"/>
      <c r="L2253" s="447"/>
      <c r="M2253" s="447"/>
      <c r="N2253" s="447"/>
      <c r="O2253" s="447"/>
      <c r="P2253" s="447"/>
      <c r="Q2253" s="447"/>
      <c r="R2253" s="447"/>
      <c r="S2253" s="447"/>
      <c r="T2253" s="447"/>
      <c r="U2253" s="447"/>
      <c r="V2253" s="447"/>
      <c r="W2253" s="447"/>
      <c r="X2253" s="447"/>
      <c r="Y2253" s="447"/>
      <c r="Z2253" s="447"/>
      <c r="AA2253" s="447"/>
      <c r="AB2253" s="447"/>
      <c r="AC2253" s="447"/>
      <c r="AD2253" s="447"/>
      <c r="AE2253" s="447"/>
      <c r="AF2253" s="447"/>
      <c r="AG2253" s="447"/>
      <c r="AH2253" s="447"/>
      <c r="AI2253" s="447"/>
      <c r="AJ2253" s="768"/>
    </row>
    <row r="2254" spans="1:36" ht="29" customHeight="1">
      <c r="A2254" s="624">
        <v>1</v>
      </c>
      <c r="B2254" s="624"/>
      <c r="C2254" s="625"/>
      <c r="D2254" s="625"/>
      <c r="E2254" s="625"/>
      <c r="F2254" s="962" t="s">
        <v>483</v>
      </c>
      <c r="G2254" s="935"/>
      <c r="H2254" s="935"/>
      <c r="I2254" s="963"/>
      <c r="J2254" s="543">
        <v>1521910</v>
      </c>
      <c r="K2254" s="542"/>
      <c r="L2254" s="205"/>
      <c r="M2254" s="205"/>
      <c r="N2254" s="205"/>
      <c r="O2254" s="205"/>
      <c r="P2254" s="205"/>
      <c r="Q2254" s="205"/>
      <c r="R2254" s="205"/>
      <c r="S2254" s="205"/>
      <c r="T2254" s="205"/>
      <c r="U2254" s="205"/>
      <c r="V2254" s="205"/>
      <c r="W2254" s="205"/>
      <c r="X2254" s="205"/>
      <c r="Y2254" s="205"/>
      <c r="Z2254" s="205"/>
      <c r="AA2254" s="205"/>
      <c r="AB2254" s="205"/>
      <c r="AC2254" s="205"/>
      <c r="AD2254" s="205"/>
      <c r="AE2254" s="205"/>
      <c r="AF2254" s="205"/>
      <c r="AG2254" s="205"/>
      <c r="AH2254" s="205"/>
      <c r="AI2254" s="205"/>
      <c r="AJ2254" s="747"/>
    </row>
    <row r="2255" spans="1:36" ht="14">
      <c r="A2255" s="124"/>
      <c r="B2255" s="124"/>
      <c r="C2255" s="124">
        <v>1</v>
      </c>
      <c r="D2255" s="124"/>
      <c r="E2255" s="124"/>
      <c r="F2255" s="674"/>
      <c r="G2255" s="674"/>
      <c r="H2255" s="964" t="s">
        <v>35</v>
      </c>
      <c r="I2255" s="964"/>
      <c r="J2255" s="403"/>
      <c r="K2255" s="403"/>
      <c r="L2255" s="454"/>
      <c r="M2255" s="454"/>
      <c r="N2255" s="454"/>
      <c r="O2255" s="454"/>
      <c r="P2255" s="454"/>
      <c r="Q2255" s="454"/>
      <c r="R2255" s="454"/>
      <c r="S2255" s="454"/>
      <c r="T2255" s="454"/>
      <c r="U2255" s="454"/>
      <c r="V2255" s="454"/>
      <c r="W2255" s="454"/>
      <c r="X2255" s="454"/>
      <c r="Y2255" s="454"/>
      <c r="Z2255" s="454"/>
      <c r="AA2255" s="454"/>
      <c r="AB2255" s="454"/>
      <c r="AC2255" s="454"/>
      <c r="AD2255" s="454"/>
      <c r="AE2255" s="454"/>
      <c r="AF2255" s="454"/>
      <c r="AG2255" s="454"/>
      <c r="AH2255" s="454"/>
      <c r="AI2255" s="454"/>
      <c r="AJ2255" s="769"/>
    </row>
    <row r="2256" spans="1:36" ht="14">
      <c r="A2256" s="124"/>
      <c r="B2256" s="124"/>
      <c r="C2256" s="124"/>
      <c r="D2256" s="124">
        <v>5</v>
      </c>
      <c r="E2256" s="124" t="s">
        <v>199</v>
      </c>
      <c r="F2256" s="674"/>
      <c r="G2256" s="674"/>
      <c r="H2256" s="674"/>
      <c r="I2256" s="674" t="s">
        <v>185</v>
      </c>
      <c r="J2256" s="403"/>
      <c r="K2256" s="403"/>
      <c r="L2256" s="454">
        <v>1521910</v>
      </c>
      <c r="M2256" s="454">
        <v>17524854</v>
      </c>
      <c r="N2256" s="454"/>
      <c r="O2256" s="454"/>
      <c r="P2256" s="454"/>
      <c r="Q2256" s="454"/>
      <c r="R2256" s="454"/>
      <c r="S2256" s="217">
        <f t="shared" ref="S2256" si="2627">SUM(M2256:R2256)</f>
        <v>17524854</v>
      </c>
      <c r="T2256" s="217">
        <f t="shared" ref="T2256" si="2628">S2256+L2256</f>
        <v>19046764</v>
      </c>
      <c r="U2256" s="454"/>
      <c r="V2256" s="454"/>
      <c r="W2256" s="454"/>
      <c r="X2256" s="454"/>
      <c r="Y2256" s="454"/>
      <c r="Z2256" s="217">
        <f>SUM(U2256:Y2256)</f>
        <v>0</v>
      </c>
      <c r="AA2256" s="217">
        <f>Z2256+T2256</f>
        <v>19046764</v>
      </c>
      <c r="AB2256" s="454"/>
      <c r="AC2256" s="454"/>
      <c r="AD2256" s="454"/>
      <c r="AE2256" s="454"/>
      <c r="AF2256" s="454"/>
      <c r="AG2256" s="484">
        <f t="shared" ref="AG2256" si="2629">SUM(AB2256:AF2256)</f>
        <v>0</v>
      </c>
      <c r="AH2256" s="484">
        <f t="shared" ref="AH2256" si="2630">AG2256+AA2256</f>
        <v>19046764</v>
      </c>
      <c r="AI2256" s="217">
        <v>19046764</v>
      </c>
      <c r="AJ2256" s="764">
        <f>AI2256/AH2256*100</f>
        <v>100</v>
      </c>
    </row>
    <row r="2257" spans="1:36" ht="7.5" customHeight="1">
      <c r="A2257" s="160"/>
      <c r="B2257" s="160"/>
      <c r="C2257" s="161"/>
      <c r="D2257" s="161"/>
      <c r="E2257" s="161"/>
      <c r="F2257" s="669"/>
      <c r="G2257" s="669"/>
      <c r="H2257" s="669"/>
      <c r="I2257" s="669"/>
      <c r="J2257" s="205"/>
      <c r="K2257" s="467"/>
      <c r="L2257" s="205"/>
      <c r="M2257" s="205"/>
      <c r="N2257" s="205"/>
      <c r="O2257" s="205"/>
      <c r="P2257" s="205"/>
      <c r="Q2257" s="205"/>
      <c r="R2257" s="205"/>
      <c r="S2257" s="205"/>
      <c r="T2257" s="205"/>
      <c r="U2257" s="205"/>
      <c r="V2257" s="205"/>
      <c r="W2257" s="205"/>
      <c r="X2257" s="205"/>
      <c r="Y2257" s="205"/>
      <c r="Z2257" s="205"/>
      <c r="AA2257" s="205"/>
      <c r="AB2257" s="205"/>
      <c r="AC2257" s="205"/>
      <c r="AD2257" s="205"/>
      <c r="AE2257" s="205"/>
      <c r="AF2257" s="205"/>
      <c r="AG2257" s="205"/>
      <c r="AH2257" s="205"/>
      <c r="AI2257" s="205"/>
      <c r="AJ2257" s="747"/>
    </row>
    <row r="2258" spans="1:36" ht="14">
      <c r="A2258" s="40"/>
      <c r="B2258" s="40"/>
      <c r="C2258" s="124"/>
      <c r="D2258" s="124"/>
      <c r="E2258" s="124"/>
      <c r="F2258" s="166"/>
      <c r="G2258" s="166"/>
      <c r="H2258" s="464"/>
      <c r="I2258" s="626" t="s">
        <v>37</v>
      </c>
      <c r="J2258" s="460">
        <f>SUM(J2254:J2257)</f>
        <v>1521910</v>
      </c>
      <c r="K2258" s="461">
        <f>SUM(K2254:K2257)</f>
        <v>0</v>
      </c>
      <c r="L2258" s="460">
        <f>SUM(L2254:L2257)</f>
        <v>1521910</v>
      </c>
      <c r="M2258" s="460">
        <f>SUM(M2254:M2257)</f>
        <v>17524854</v>
      </c>
      <c r="N2258" s="460">
        <f t="shared" ref="N2258:T2258" si="2631">SUM(N2254:N2257)</f>
        <v>0</v>
      </c>
      <c r="O2258" s="460">
        <f t="shared" si="2631"/>
        <v>0</v>
      </c>
      <c r="P2258" s="460">
        <f t="shared" si="2631"/>
        <v>0</v>
      </c>
      <c r="Q2258" s="460">
        <f t="shared" si="2631"/>
        <v>0</v>
      </c>
      <c r="R2258" s="460">
        <f t="shared" si="2631"/>
        <v>0</v>
      </c>
      <c r="S2258" s="460">
        <f t="shared" si="2631"/>
        <v>17524854</v>
      </c>
      <c r="T2258" s="460">
        <f t="shared" si="2631"/>
        <v>19046764</v>
      </c>
      <c r="U2258" s="460"/>
      <c r="V2258" s="460"/>
      <c r="W2258" s="460"/>
      <c r="X2258" s="460"/>
      <c r="Y2258" s="460"/>
      <c r="Z2258" s="460">
        <f t="shared" ref="Z2258:AA2258" si="2632">SUM(Z2254:Z2257)</f>
        <v>0</v>
      </c>
      <c r="AA2258" s="460">
        <f t="shared" si="2632"/>
        <v>19046764</v>
      </c>
      <c r="AB2258" s="460"/>
      <c r="AC2258" s="460"/>
      <c r="AD2258" s="460"/>
      <c r="AE2258" s="460"/>
      <c r="AF2258" s="460"/>
      <c r="AG2258" s="460">
        <f t="shared" ref="AG2258:AI2258" si="2633">SUM(AG2254:AG2257)</f>
        <v>0</v>
      </c>
      <c r="AH2258" s="460">
        <f t="shared" si="2633"/>
        <v>19046764</v>
      </c>
      <c r="AI2258" s="460">
        <f t="shared" si="2633"/>
        <v>19046764</v>
      </c>
      <c r="AJ2258" s="776">
        <f>AI2258/AH2258*100</f>
        <v>100</v>
      </c>
    </row>
    <row r="2259" spans="1:36" ht="8" customHeight="1">
      <c r="A2259" s="40"/>
      <c r="B2259" s="40"/>
      <c r="C2259" s="124"/>
      <c r="D2259" s="124"/>
      <c r="E2259" s="124"/>
      <c r="F2259" s="41"/>
      <c r="G2259" s="41"/>
      <c r="H2259" s="66"/>
      <c r="I2259" s="202"/>
      <c r="J2259" s="392"/>
      <c r="K2259" s="392"/>
      <c r="L2259" s="552"/>
      <c r="M2259" s="552"/>
      <c r="N2259" s="552"/>
      <c r="O2259" s="552"/>
      <c r="P2259" s="552"/>
      <c r="Q2259" s="552"/>
      <c r="R2259" s="552"/>
      <c r="S2259" s="552"/>
      <c r="T2259" s="552"/>
      <c r="U2259" s="552"/>
      <c r="V2259" s="552"/>
      <c r="W2259" s="552"/>
      <c r="X2259" s="552"/>
      <c r="Y2259" s="552"/>
      <c r="Z2259" s="552"/>
      <c r="AA2259" s="552"/>
      <c r="AB2259" s="552"/>
      <c r="AC2259" s="552"/>
      <c r="AD2259" s="552"/>
      <c r="AE2259" s="552"/>
      <c r="AF2259" s="552"/>
      <c r="AG2259" s="552"/>
      <c r="AH2259" s="552"/>
      <c r="AI2259" s="552"/>
      <c r="AJ2259" s="784"/>
    </row>
    <row r="2260" spans="1:36" ht="14">
      <c r="A2260" s="624">
        <v>2</v>
      </c>
      <c r="B2260" s="624"/>
      <c r="C2260" s="625"/>
      <c r="D2260" s="625"/>
      <c r="E2260" s="625"/>
      <c r="F2260" s="962" t="s">
        <v>590</v>
      </c>
      <c r="G2260" s="935"/>
      <c r="H2260" s="935"/>
      <c r="I2260" s="963"/>
      <c r="J2260" s="543">
        <v>1521910</v>
      </c>
      <c r="K2260" s="542"/>
      <c r="L2260" s="627"/>
      <c r="M2260" s="205"/>
      <c r="N2260" s="205"/>
      <c r="O2260" s="205"/>
      <c r="P2260" s="205"/>
      <c r="Q2260" s="205"/>
      <c r="R2260" s="205"/>
      <c r="S2260" s="205"/>
      <c r="T2260" s="205"/>
      <c r="U2260" s="205"/>
      <c r="V2260" s="205"/>
      <c r="W2260" s="205"/>
      <c r="X2260" s="205"/>
      <c r="Y2260" s="205"/>
      <c r="Z2260" s="205"/>
      <c r="AA2260" s="205"/>
      <c r="AB2260" s="205"/>
      <c r="AC2260" s="205"/>
      <c r="AD2260" s="205"/>
      <c r="AE2260" s="205"/>
      <c r="AF2260" s="205"/>
      <c r="AG2260" s="205"/>
      <c r="AH2260" s="205"/>
      <c r="AI2260" s="205"/>
      <c r="AJ2260" s="747"/>
    </row>
    <row r="2261" spans="1:36" ht="14">
      <c r="A2261" s="124"/>
      <c r="B2261" s="124"/>
      <c r="C2261" s="124">
        <v>1</v>
      </c>
      <c r="D2261" s="124"/>
      <c r="E2261" s="124"/>
      <c r="F2261" s="674"/>
      <c r="G2261" s="674"/>
      <c r="H2261" s="964" t="s">
        <v>35</v>
      </c>
      <c r="I2261" s="964"/>
      <c r="J2261" s="403"/>
      <c r="K2261" s="403"/>
      <c r="L2261" s="454"/>
      <c r="M2261" s="454"/>
      <c r="N2261" s="454"/>
      <c r="O2261" s="454"/>
      <c r="P2261" s="454"/>
      <c r="Q2261" s="454"/>
      <c r="R2261" s="454"/>
      <c r="S2261" s="454"/>
      <c r="T2261" s="454"/>
      <c r="U2261" s="454"/>
      <c r="V2261" s="454"/>
      <c r="W2261" s="454"/>
      <c r="X2261" s="454"/>
      <c r="Y2261" s="454"/>
      <c r="Z2261" s="454"/>
      <c r="AA2261" s="454"/>
      <c r="AB2261" s="454"/>
      <c r="AC2261" s="454"/>
      <c r="AD2261" s="454"/>
      <c r="AE2261" s="454"/>
      <c r="AF2261" s="454"/>
      <c r="AG2261" s="454"/>
      <c r="AH2261" s="454"/>
      <c r="AI2261" s="454"/>
      <c r="AJ2261" s="769"/>
    </row>
    <row r="2262" spans="1:36" ht="14">
      <c r="A2262" s="124"/>
      <c r="B2262" s="124"/>
      <c r="C2262" s="124"/>
      <c r="D2262" s="124">
        <v>5</v>
      </c>
      <c r="E2262" s="124" t="s">
        <v>199</v>
      </c>
      <c r="F2262" s="674"/>
      <c r="G2262" s="674"/>
      <c r="H2262" s="674"/>
      <c r="I2262" s="674" t="s">
        <v>185</v>
      </c>
      <c r="J2262" s="403"/>
      <c r="K2262" s="403"/>
      <c r="L2262" s="454"/>
      <c r="M2262" s="454"/>
      <c r="N2262" s="454"/>
      <c r="O2262" s="454"/>
      <c r="P2262" s="454"/>
      <c r="Q2262" s="454"/>
      <c r="R2262" s="454"/>
      <c r="S2262" s="454"/>
      <c r="T2262" s="454"/>
      <c r="U2262" s="454"/>
      <c r="V2262" s="454"/>
      <c r="W2262" s="454"/>
      <c r="X2262" s="454"/>
      <c r="Y2262" s="454"/>
      <c r="Z2262" s="454"/>
      <c r="AA2262" s="454"/>
      <c r="AB2262" s="454"/>
      <c r="AC2262" s="454"/>
      <c r="AD2262" s="454"/>
      <c r="AE2262" s="454">
        <v>68</v>
      </c>
      <c r="AF2262" s="454"/>
      <c r="AG2262" s="484">
        <f t="shared" ref="AG2262" si="2634">SUM(AB2262:AF2262)</f>
        <v>68</v>
      </c>
      <c r="AH2262" s="484">
        <f t="shared" ref="AH2262" si="2635">AG2262+AA2262</f>
        <v>68</v>
      </c>
      <c r="AI2262" s="454">
        <v>68</v>
      </c>
      <c r="AJ2262" s="769">
        <f>AI2262/AH2262*100</f>
        <v>100</v>
      </c>
    </row>
    <row r="2263" spans="1:36" ht="14">
      <c r="A2263" s="160"/>
      <c r="B2263" s="160"/>
      <c r="C2263" s="161"/>
      <c r="D2263" s="161"/>
      <c r="E2263" s="161"/>
      <c r="F2263" s="669"/>
      <c r="G2263" s="669"/>
      <c r="H2263" s="669"/>
      <c r="I2263" s="669"/>
      <c r="J2263" s="205"/>
      <c r="K2263" s="467"/>
      <c r="L2263" s="205"/>
      <c r="M2263" s="205"/>
      <c r="N2263" s="205"/>
      <c r="O2263" s="205"/>
      <c r="P2263" s="205"/>
      <c r="Q2263" s="205"/>
      <c r="R2263" s="205"/>
      <c r="S2263" s="205"/>
      <c r="T2263" s="205"/>
      <c r="U2263" s="205"/>
      <c r="V2263" s="205"/>
      <c r="W2263" s="205"/>
      <c r="X2263" s="205"/>
      <c r="Y2263" s="205"/>
      <c r="Z2263" s="205"/>
      <c r="AA2263" s="205"/>
      <c r="AB2263" s="205"/>
      <c r="AC2263" s="205"/>
      <c r="AD2263" s="205"/>
      <c r="AE2263" s="205"/>
      <c r="AF2263" s="205"/>
      <c r="AG2263" s="205"/>
      <c r="AH2263" s="205"/>
      <c r="AI2263" s="205"/>
      <c r="AJ2263" s="747"/>
    </row>
    <row r="2264" spans="1:36" ht="14">
      <c r="A2264" s="40"/>
      <c r="B2264" s="40"/>
      <c r="C2264" s="124"/>
      <c r="D2264" s="124"/>
      <c r="E2264" s="124"/>
      <c r="F2264" s="166"/>
      <c r="G2264" s="166"/>
      <c r="H2264" s="464"/>
      <c r="I2264" s="813" t="s">
        <v>37</v>
      </c>
      <c r="J2264" s="814">
        <f>SUM(J2260:J2263)</f>
        <v>1521910</v>
      </c>
      <c r="K2264" s="815">
        <f>SUM(K2260:K2263)</f>
        <v>0</v>
      </c>
      <c r="L2264" s="814">
        <f>SUM(L2260:L2263)</f>
        <v>0</v>
      </c>
      <c r="M2264" s="814">
        <f>SUM(M2260:M2263)</f>
        <v>0</v>
      </c>
      <c r="N2264" s="814">
        <f t="shared" ref="N2264:T2264" si="2636">SUM(N2260:N2263)</f>
        <v>0</v>
      </c>
      <c r="O2264" s="814">
        <f t="shared" si="2636"/>
        <v>0</v>
      </c>
      <c r="P2264" s="814">
        <f t="shared" si="2636"/>
        <v>0</v>
      </c>
      <c r="Q2264" s="814">
        <f t="shared" si="2636"/>
        <v>0</v>
      </c>
      <c r="R2264" s="814">
        <f t="shared" si="2636"/>
        <v>0</v>
      </c>
      <c r="S2264" s="814">
        <f t="shared" si="2636"/>
        <v>0</v>
      </c>
      <c r="T2264" s="814">
        <f t="shared" si="2636"/>
        <v>0</v>
      </c>
      <c r="U2264" s="814"/>
      <c r="V2264" s="814"/>
      <c r="W2264" s="814"/>
      <c r="X2264" s="814"/>
      <c r="Y2264" s="814"/>
      <c r="Z2264" s="814">
        <f t="shared" ref="Z2264:AA2264" si="2637">SUM(Z2260:Z2263)</f>
        <v>0</v>
      </c>
      <c r="AA2264" s="814">
        <f t="shared" si="2637"/>
        <v>0</v>
      </c>
      <c r="AB2264" s="814"/>
      <c r="AC2264" s="814"/>
      <c r="AD2264" s="814"/>
      <c r="AE2264" s="814">
        <f t="shared" ref="AE2264:AI2264" si="2638">SUM(AE2260:AE2263)</f>
        <v>68</v>
      </c>
      <c r="AF2264" s="814"/>
      <c r="AG2264" s="814">
        <f t="shared" si="2638"/>
        <v>68</v>
      </c>
      <c r="AH2264" s="814">
        <f t="shared" si="2638"/>
        <v>68</v>
      </c>
      <c r="AI2264" s="814">
        <f t="shared" si="2638"/>
        <v>68</v>
      </c>
      <c r="AJ2264" s="816">
        <f>AI2264/AH2264*100</f>
        <v>100</v>
      </c>
    </row>
    <row r="2265" spans="1:36" ht="14">
      <c r="A2265" s="40"/>
      <c r="B2265" s="40"/>
      <c r="C2265" s="124"/>
      <c r="D2265" s="124"/>
      <c r="E2265" s="124"/>
      <c r="F2265" s="41"/>
      <c r="G2265" s="41"/>
      <c r="H2265" s="66"/>
      <c r="I2265" s="202"/>
      <c r="J2265" s="392"/>
      <c r="K2265" s="392"/>
      <c r="L2265" s="205"/>
      <c r="M2265" s="205"/>
      <c r="N2265" s="205"/>
      <c r="O2265" s="205"/>
      <c r="P2265" s="205"/>
      <c r="Q2265" s="205"/>
      <c r="R2265" s="205"/>
      <c r="S2265" s="205"/>
      <c r="T2265" s="205"/>
      <c r="U2265" s="205"/>
      <c r="V2265" s="205"/>
      <c r="W2265" s="205"/>
      <c r="X2265" s="205"/>
      <c r="Y2265" s="205"/>
      <c r="Z2265" s="205"/>
      <c r="AA2265" s="205"/>
      <c r="AB2265" s="205"/>
      <c r="AC2265" s="205"/>
      <c r="AD2265" s="205"/>
      <c r="AE2265" s="205"/>
      <c r="AF2265" s="205"/>
      <c r="AG2265" s="205"/>
      <c r="AH2265" s="205"/>
      <c r="AI2265" s="205"/>
      <c r="AJ2265" s="747"/>
    </row>
    <row r="2266" spans="1:36" ht="25" customHeight="1">
      <c r="A2266" s="624">
        <v>3</v>
      </c>
      <c r="B2266" s="624"/>
      <c r="C2266" s="625"/>
      <c r="D2266" s="625"/>
      <c r="E2266" s="625"/>
      <c r="F2266" s="962" t="s">
        <v>591</v>
      </c>
      <c r="G2266" s="935"/>
      <c r="H2266" s="935"/>
      <c r="I2266" s="963"/>
      <c r="J2266" s="543">
        <v>1521910</v>
      </c>
      <c r="K2266" s="542"/>
      <c r="L2266" s="627"/>
      <c r="M2266" s="205"/>
      <c r="N2266" s="205"/>
      <c r="O2266" s="205"/>
      <c r="P2266" s="205"/>
      <c r="Q2266" s="205"/>
      <c r="R2266" s="205"/>
      <c r="S2266" s="205"/>
      <c r="T2266" s="205"/>
      <c r="U2266" s="205"/>
      <c r="V2266" s="205"/>
      <c r="W2266" s="205"/>
      <c r="X2266" s="205"/>
      <c r="Y2266" s="205"/>
      <c r="Z2266" s="205"/>
      <c r="AA2266" s="205"/>
      <c r="AB2266" s="205"/>
      <c r="AC2266" s="205"/>
      <c r="AD2266" s="205"/>
      <c r="AE2266" s="205"/>
      <c r="AF2266" s="205"/>
      <c r="AG2266" s="205"/>
      <c r="AH2266" s="205"/>
      <c r="AI2266" s="205"/>
      <c r="AJ2266" s="747"/>
    </row>
    <row r="2267" spans="1:36" ht="14" customHeight="1">
      <c r="A2267" s="124"/>
      <c r="B2267" s="124"/>
      <c r="C2267" s="124">
        <v>1</v>
      </c>
      <c r="D2267" s="124"/>
      <c r="E2267" s="124"/>
      <c r="F2267" s="674"/>
      <c r="G2267" s="674"/>
      <c r="H2267" s="964" t="s">
        <v>35</v>
      </c>
      <c r="I2267" s="964"/>
      <c r="J2267" s="403"/>
      <c r="K2267" s="403"/>
      <c r="L2267" s="454"/>
      <c r="M2267" s="454"/>
      <c r="N2267" s="454"/>
      <c r="O2267" s="454"/>
      <c r="P2267" s="454"/>
      <c r="Q2267" s="454"/>
      <c r="R2267" s="454"/>
      <c r="S2267" s="454"/>
      <c r="T2267" s="454"/>
      <c r="U2267" s="454"/>
      <c r="V2267" s="454"/>
      <c r="W2267" s="454"/>
      <c r="X2267" s="454"/>
      <c r="Y2267" s="454"/>
      <c r="Z2267" s="454"/>
      <c r="AA2267" s="454"/>
      <c r="AB2267" s="454"/>
      <c r="AC2267" s="454"/>
      <c r="AD2267" s="454"/>
      <c r="AE2267" s="454"/>
      <c r="AF2267" s="454"/>
      <c r="AG2267" s="454"/>
      <c r="AH2267" s="454"/>
      <c r="AI2267" s="454"/>
      <c r="AJ2267" s="769"/>
    </row>
    <row r="2268" spans="1:36" ht="14" customHeight="1">
      <c r="A2268" s="124"/>
      <c r="B2268" s="124"/>
      <c r="C2268" s="124"/>
      <c r="D2268" s="124">
        <v>5</v>
      </c>
      <c r="E2268" s="124" t="s">
        <v>199</v>
      </c>
      <c r="F2268" s="674"/>
      <c r="G2268" s="674"/>
      <c r="H2268" s="674"/>
      <c r="I2268" s="674" t="s">
        <v>185</v>
      </c>
      <c r="J2268" s="403"/>
      <c r="K2268" s="403"/>
      <c r="L2268" s="454"/>
      <c r="M2268" s="454">
        <v>195530</v>
      </c>
      <c r="N2268" s="454"/>
      <c r="O2268" s="454"/>
      <c r="P2268" s="454"/>
      <c r="Q2268" s="454"/>
      <c r="R2268" s="454"/>
      <c r="S2268" s="217">
        <f t="shared" ref="S2268" si="2639">SUM(M2268:R2268)</f>
        <v>195530</v>
      </c>
      <c r="T2268" s="217">
        <f t="shared" ref="T2268" si="2640">S2268+L2268</f>
        <v>195530</v>
      </c>
      <c r="U2268" s="454"/>
      <c r="V2268" s="454"/>
      <c r="W2268" s="454"/>
      <c r="X2268" s="454"/>
      <c r="Y2268" s="454"/>
      <c r="Z2268" s="217">
        <f>SUM(U2268:Y2268)</f>
        <v>0</v>
      </c>
      <c r="AA2268" s="217">
        <f>Z2268+T2268</f>
        <v>195530</v>
      </c>
      <c r="AB2268" s="454"/>
      <c r="AC2268" s="454"/>
      <c r="AD2268" s="454"/>
      <c r="AE2268" s="454"/>
      <c r="AF2268" s="454"/>
      <c r="AG2268" s="484">
        <f t="shared" ref="AG2268" si="2641">SUM(AB2268:AF2268)</f>
        <v>0</v>
      </c>
      <c r="AH2268" s="484">
        <f t="shared" ref="AH2268" si="2642">AG2268+AA2268</f>
        <v>195530</v>
      </c>
      <c r="AI2268" s="217">
        <v>195530</v>
      </c>
      <c r="AJ2268" s="764">
        <f>AI2268/AH2268*100</f>
        <v>100</v>
      </c>
    </row>
    <row r="2269" spans="1:36" ht="14">
      <c r="A2269" s="160"/>
      <c r="B2269" s="160"/>
      <c r="C2269" s="161"/>
      <c r="D2269" s="161"/>
      <c r="E2269" s="161"/>
      <c r="F2269" s="669"/>
      <c r="G2269" s="669"/>
      <c r="H2269" s="669"/>
      <c r="I2269" s="669"/>
      <c r="J2269" s="205"/>
      <c r="K2269" s="467"/>
      <c r="L2269" s="205"/>
      <c r="M2269" s="205"/>
      <c r="N2269" s="205"/>
      <c r="O2269" s="205"/>
      <c r="P2269" s="205"/>
      <c r="Q2269" s="205"/>
      <c r="R2269" s="205"/>
      <c r="S2269" s="205"/>
      <c r="T2269" s="205"/>
      <c r="U2269" s="205"/>
      <c r="V2269" s="205"/>
      <c r="W2269" s="205"/>
      <c r="X2269" s="205"/>
      <c r="Y2269" s="205"/>
      <c r="Z2269" s="205"/>
      <c r="AA2269" s="205"/>
      <c r="AB2269" s="205"/>
      <c r="AC2269" s="205"/>
      <c r="AD2269" s="205"/>
      <c r="AE2269" s="205"/>
      <c r="AF2269" s="205"/>
      <c r="AG2269" s="205"/>
      <c r="AH2269" s="205"/>
      <c r="AI2269" s="205"/>
      <c r="AJ2269" s="747"/>
    </row>
    <row r="2270" spans="1:36" ht="14">
      <c r="A2270" s="40"/>
      <c r="B2270" s="40"/>
      <c r="C2270" s="124"/>
      <c r="D2270" s="124"/>
      <c r="E2270" s="124"/>
      <c r="F2270" s="166"/>
      <c r="G2270" s="166"/>
      <c r="H2270" s="464"/>
      <c r="I2270" s="626" t="s">
        <v>37</v>
      </c>
      <c r="J2270" s="460">
        <f>SUM(J2266:J2269)</f>
        <v>1521910</v>
      </c>
      <c r="K2270" s="461">
        <f>SUM(K2266:K2269)</f>
        <v>0</v>
      </c>
      <c r="L2270" s="460">
        <f>SUM(L2266:L2269)</f>
        <v>0</v>
      </c>
      <c r="M2270" s="460">
        <f>SUM(M2266:M2269)</f>
        <v>195530</v>
      </c>
      <c r="N2270" s="460">
        <f t="shared" ref="N2270:T2270" si="2643">SUM(N2266:N2269)</f>
        <v>0</v>
      </c>
      <c r="O2270" s="460">
        <f t="shared" si="2643"/>
        <v>0</v>
      </c>
      <c r="P2270" s="460">
        <f t="shared" si="2643"/>
        <v>0</v>
      </c>
      <c r="Q2270" s="460">
        <f t="shared" si="2643"/>
        <v>0</v>
      </c>
      <c r="R2270" s="460">
        <f t="shared" si="2643"/>
        <v>0</v>
      </c>
      <c r="S2270" s="460">
        <f t="shared" si="2643"/>
        <v>195530</v>
      </c>
      <c r="T2270" s="460">
        <f t="shared" si="2643"/>
        <v>195530</v>
      </c>
      <c r="U2270" s="460"/>
      <c r="V2270" s="460"/>
      <c r="W2270" s="460"/>
      <c r="X2270" s="460"/>
      <c r="Y2270" s="460"/>
      <c r="Z2270" s="460">
        <f t="shared" ref="Z2270:AA2270" si="2644">SUM(Z2266:Z2269)</f>
        <v>0</v>
      </c>
      <c r="AA2270" s="460">
        <f t="shared" si="2644"/>
        <v>195530</v>
      </c>
      <c r="AB2270" s="460"/>
      <c r="AC2270" s="460"/>
      <c r="AD2270" s="460"/>
      <c r="AE2270" s="460"/>
      <c r="AF2270" s="460"/>
      <c r="AG2270" s="460">
        <f t="shared" ref="AG2270:AI2270" si="2645">SUM(AG2266:AG2269)</f>
        <v>0</v>
      </c>
      <c r="AH2270" s="460">
        <f t="shared" si="2645"/>
        <v>195530</v>
      </c>
      <c r="AI2270" s="460">
        <f t="shared" si="2645"/>
        <v>195530</v>
      </c>
      <c r="AJ2270" s="776">
        <f>AI2270/AH2270*100</f>
        <v>100</v>
      </c>
    </row>
    <row r="2271" spans="1:36" ht="14">
      <c r="A2271" s="40"/>
      <c r="B2271" s="40"/>
      <c r="C2271" s="124"/>
      <c r="D2271" s="124"/>
      <c r="E2271" s="124"/>
      <c r="F2271" s="41"/>
      <c r="G2271" s="41"/>
      <c r="H2271" s="66"/>
      <c r="I2271" s="202"/>
      <c r="J2271" s="392"/>
      <c r="K2271" s="392"/>
      <c r="L2271" s="552"/>
      <c r="M2271" s="552"/>
      <c r="N2271" s="552"/>
      <c r="O2271" s="552"/>
      <c r="P2271" s="552"/>
      <c r="Q2271" s="552"/>
      <c r="R2271" s="552"/>
      <c r="S2271" s="552"/>
      <c r="T2271" s="552"/>
      <c r="U2271" s="552"/>
      <c r="V2271" s="552"/>
      <c r="W2271" s="552"/>
      <c r="X2271" s="552"/>
      <c r="Y2271" s="552"/>
      <c r="Z2271" s="552"/>
      <c r="AA2271" s="552"/>
      <c r="AB2271" s="552"/>
      <c r="AC2271" s="552"/>
      <c r="AD2271" s="552"/>
      <c r="AE2271" s="552"/>
      <c r="AF2271" s="552"/>
      <c r="AG2271" s="552"/>
      <c r="AH2271" s="552"/>
      <c r="AI2271" s="552"/>
      <c r="AJ2271" s="784"/>
    </row>
    <row r="2272" spans="1:36" ht="14">
      <c r="A2272" s="624">
        <v>4</v>
      </c>
      <c r="B2272" s="624"/>
      <c r="C2272" s="625"/>
      <c r="D2272" s="625"/>
      <c r="E2272" s="625"/>
      <c r="F2272" s="962" t="s">
        <v>592</v>
      </c>
      <c r="G2272" s="935"/>
      <c r="H2272" s="935"/>
      <c r="I2272" s="963"/>
      <c r="J2272" s="543">
        <v>1521910</v>
      </c>
      <c r="K2272" s="542"/>
      <c r="L2272" s="627"/>
      <c r="M2272" s="205"/>
      <c r="N2272" s="205"/>
      <c r="O2272" s="205"/>
      <c r="P2272" s="205"/>
      <c r="Q2272" s="205"/>
      <c r="R2272" s="205"/>
      <c r="S2272" s="205"/>
      <c r="T2272" s="205"/>
      <c r="U2272" s="205"/>
      <c r="V2272" s="205"/>
      <c r="W2272" s="205"/>
      <c r="X2272" s="205"/>
      <c r="Y2272" s="205"/>
      <c r="Z2272" s="205"/>
      <c r="AA2272" s="205"/>
      <c r="AB2272" s="205"/>
      <c r="AC2272" s="205"/>
      <c r="AD2272" s="205"/>
      <c r="AE2272" s="205"/>
      <c r="AF2272" s="205"/>
      <c r="AG2272" s="205"/>
      <c r="AH2272" s="205"/>
      <c r="AI2272" s="205"/>
      <c r="AJ2272" s="747"/>
    </row>
    <row r="2273" spans="1:36" ht="14" customHeight="1">
      <c r="A2273" s="124"/>
      <c r="B2273" s="124"/>
      <c r="C2273" s="124">
        <v>1</v>
      </c>
      <c r="D2273" s="124"/>
      <c r="E2273" s="124"/>
      <c r="F2273" s="674"/>
      <c r="G2273" s="674"/>
      <c r="H2273" s="964" t="s">
        <v>35</v>
      </c>
      <c r="I2273" s="964"/>
      <c r="J2273" s="403"/>
      <c r="K2273" s="403"/>
      <c r="L2273" s="454"/>
      <c r="M2273" s="454"/>
      <c r="N2273" s="454"/>
      <c r="O2273" s="454"/>
      <c r="P2273" s="454"/>
      <c r="Q2273" s="454"/>
      <c r="R2273" s="454"/>
      <c r="S2273" s="454"/>
      <c r="T2273" s="454"/>
      <c r="U2273" s="454"/>
      <c r="V2273" s="454"/>
      <c r="W2273" s="454"/>
      <c r="X2273" s="454"/>
      <c r="Y2273" s="454"/>
      <c r="Z2273" s="454"/>
      <c r="AA2273" s="454"/>
      <c r="AB2273" s="454"/>
      <c r="AC2273" s="454"/>
      <c r="AD2273" s="454"/>
      <c r="AE2273" s="454"/>
      <c r="AF2273" s="454"/>
      <c r="AG2273" s="454"/>
      <c r="AH2273" s="454"/>
      <c r="AI2273" s="454"/>
      <c r="AJ2273" s="769"/>
    </row>
    <row r="2274" spans="1:36" ht="14" customHeight="1">
      <c r="A2274" s="124"/>
      <c r="B2274" s="124"/>
      <c r="C2274" s="124"/>
      <c r="D2274" s="124">
        <v>5</v>
      </c>
      <c r="E2274" s="124" t="s">
        <v>199</v>
      </c>
      <c r="F2274" s="674"/>
      <c r="G2274" s="674"/>
      <c r="H2274" s="674"/>
      <c r="I2274" s="674" t="s">
        <v>185</v>
      </c>
      <c r="J2274" s="403"/>
      <c r="K2274" s="403"/>
      <c r="L2274" s="454"/>
      <c r="M2274" s="454">
        <v>47478</v>
      </c>
      <c r="N2274" s="454"/>
      <c r="O2274" s="454"/>
      <c r="P2274" s="454"/>
      <c r="Q2274" s="454"/>
      <c r="R2274" s="454"/>
      <c r="S2274" s="217">
        <f t="shared" ref="S2274" si="2646">SUM(M2274:R2274)</f>
        <v>47478</v>
      </c>
      <c r="T2274" s="217">
        <f t="shared" ref="T2274" si="2647">S2274+L2274</f>
        <v>47478</v>
      </c>
      <c r="U2274" s="454"/>
      <c r="V2274" s="454"/>
      <c r="W2274" s="454"/>
      <c r="X2274" s="454"/>
      <c r="Y2274" s="454"/>
      <c r="Z2274" s="217">
        <f>SUM(U2274:Y2274)</f>
        <v>0</v>
      </c>
      <c r="AA2274" s="217">
        <f>Z2274+T2274</f>
        <v>47478</v>
      </c>
      <c r="AB2274" s="454"/>
      <c r="AC2274" s="454"/>
      <c r="AD2274" s="454"/>
      <c r="AE2274" s="454"/>
      <c r="AF2274" s="454"/>
      <c r="AG2274" s="484">
        <f t="shared" ref="AG2274" si="2648">SUM(AB2274:AF2274)</f>
        <v>0</v>
      </c>
      <c r="AH2274" s="484">
        <f t="shared" ref="AH2274" si="2649">AG2274+AA2274</f>
        <v>47478</v>
      </c>
      <c r="AI2274" s="217">
        <v>47478</v>
      </c>
      <c r="AJ2274" s="764">
        <f>AI2274/AH2274*100</f>
        <v>100</v>
      </c>
    </row>
    <row r="2275" spans="1:36" ht="14">
      <c r="A2275" s="160"/>
      <c r="B2275" s="160"/>
      <c r="C2275" s="161"/>
      <c r="D2275" s="161"/>
      <c r="E2275" s="161"/>
      <c r="F2275" s="669"/>
      <c r="G2275" s="669"/>
      <c r="H2275" s="669"/>
      <c r="I2275" s="669"/>
      <c r="J2275" s="205"/>
      <c r="K2275" s="467"/>
      <c r="L2275" s="205"/>
      <c r="M2275" s="205"/>
      <c r="N2275" s="205"/>
      <c r="O2275" s="205"/>
      <c r="P2275" s="205"/>
      <c r="Q2275" s="205"/>
      <c r="R2275" s="205"/>
      <c r="S2275" s="205"/>
      <c r="T2275" s="205"/>
      <c r="U2275" s="205"/>
      <c r="V2275" s="205"/>
      <c r="W2275" s="205"/>
      <c r="X2275" s="205"/>
      <c r="Y2275" s="205"/>
      <c r="Z2275" s="205"/>
      <c r="AA2275" s="205"/>
      <c r="AB2275" s="205"/>
      <c r="AC2275" s="205"/>
      <c r="AD2275" s="205"/>
      <c r="AE2275" s="205"/>
      <c r="AF2275" s="205"/>
      <c r="AG2275" s="205"/>
      <c r="AH2275" s="205"/>
      <c r="AI2275" s="205"/>
      <c r="AJ2275" s="747"/>
    </row>
    <row r="2276" spans="1:36" ht="14">
      <c r="A2276" s="40"/>
      <c r="B2276" s="40"/>
      <c r="C2276" s="124"/>
      <c r="D2276" s="124"/>
      <c r="E2276" s="124"/>
      <c r="F2276" s="166"/>
      <c r="G2276" s="166"/>
      <c r="H2276" s="464"/>
      <c r="I2276" s="626" t="s">
        <v>37</v>
      </c>
      <c r="J2276" s="460">
        <f>SUM(J2272:J2275)</f>
        <v>1521910</v>
      </c>
      <c r="K2276" s="461">
        <f>SUM(K2272:K2275)</f>
        <v>0</v>
      </c>
      <c r="L2276" s="460">
        <f>SUM(L2272:L2275)</f>
        <v>0</v>
      </c>
      <c r="M2276" s="460">
        <f>SUM(M2272:M2275)</f>
        <v>47478</v>
      </c>
      <c r="N2276" s="460">
        <f t="shared" ref="N2276:T2276" si="2650">SUM(N2272:N2275)</f>
        <v>0</v>
      </c>
      <c r="O2276" s="460">
        <f t="shared" si="2650"/>
        <v>0</v>
      </c>
      <c r="P2276" s="460">
        <f t="shared" si="2650"/>
        <v>0</v>
      </c>
      <c r="Q2276" s="460">
        <f t="shared" si="2650"/>
        <v>0</v>
      </c>
      <c r="R2276" s="460">
        <f t="shared" si="2650"/>
        <v>0</v>
      </c>
      <c r="S2276" s="460">
        <f t="shared" si="2650"/>
        <v>47478</v>
      </c>
      <c r="T2276" s="460">
        <f t="shared" si="2650"/>
        <v>47478</v>
      </c>
      <c r="U2276" s="460"/>
      <c r="V2276" s="460"/>
      <c r="W2276" s="460"/>
      <c r="X2276" s="460"/>
      <c r="Y2276" s="460"/>
      <c r="Z2276" s="460">
        <f t="shared" ref="Z2276:AA2276" si="2651">SUM(Z2272:Z2275)</f>
        <v>0</v>
      </c>
      <c r="AA2276" s="460">
        <f t="shared" si="2651"/>
        <v>47478</v>
      </c>
      <c r="AB2276" s="460"/>
      <c r="AC2276" s="460"/>
      <c r="AD2276" s="460"/>
      <c r="AE2276" s="460"/>
      <c r="AF2276" s="460"/>
      <c r="AG2276" s="460">
        <f t="shared" ref="AG2276:AI2276" si="2652">SUM(AG2272:AG2275)</f>
        <v>0</v>
      </c>
      <c r="AH2276" s="460">
        <f t="shared" si="2652"/>
        <v>47478</v>
      </c>
      <c r="AI2276" s="460">
        <f t="shared" si="2652"/>
        <v>47478</v>
      </c>
      <c r="AJ2276" s="776">
        <f>AI2276/AH2276*100</f>
        <v>100</v>
      </c>
    </row>
    <row r="2277" spans="1:36" ht="14">
      <c r="A2277" s="40"/>
      <c r="B2277" s="40"/>
      <c r="C2277" s="124"/>
      <c r="D2277" s="124"/>
      <c r="E2277" s="124"/>
      <c r="F2277" s="41"/>
      <c r="G2277" s="41"/>
      <c r="H2277" s="66"/>
      <c r="I2277" s="202"/>
      <c r="J2277" s="392"/>
      <c r="K2277" s="392"/>
      <c r="L2277" s="552"/>
      <c r="M2277" s="552"/>
      <c r="N2277" s="552"/>
      <c r="O2277" s="552"/>
      <c r="P2277" s="552"/>
      <c r="Q2277" s="552"/>
      <c r="R2277" s="552"/>
      <c r="S2277" s="552"/>
      <c r="T2277" s="552"/>
      <c r="U2277" s="552"/>
      <c r="V2277" s="552"/>
      <c r="W2277" s="552"/>
      <c r="X2277" s="552"/>
      <c r="Y2277" s="552"/>
      <c r="Z2277" s="552"/>
      <c r="AA2277" s="552"/>
      <c r="AB2277" s="552"/>
      <c r="AC2277" s="552"/>
      <c r="AD2277" s="552"/>
      <c r="AE2277" s="552"/>
      <c r="AF2277" s="552"/>
      <c r="AG2277" s="552"/>
      <c r="AH2277" s="552"/>
      <c r="AI2277" s="552"/>
      <c r="AJ2277" s="784"/>
    </row>
    <row r="2278" spans="1:36" ht="14">
      <c r="A2278" s="624">
        <v>5</v>
      </c>
      <c r="B2278" s="624"/>
      <c r="C2278" s="625"/>
      <c r="D2278" s="625"/>
      <c r="E2278" s="625"/>
      <c r="F2278" s="962" t="s">
        <v>616</v>
      </c>
      <c r="G2278" s="935"/>
      <c r="H2278" s="935"/>
      <c r="I2278" s="963"/>
      <c r="J2278" s="543">
        <v>1521910</v>
      </c>
      <c r="K2278" s="542"/>
      <c r="L2278" s="627"/>
      <c r="M2278" s="205"/>
      <c r="N2278" s="205"/>
      <c r="O2278" s="205"/>
      <c r="P2278" s="205"/>
      <c r="Q2278" s="205"/>
      <c r="R2278" s="205"/>
      <c r="S2278" s="205"/>
      <c r="T2278" s="205"/>
      <c r="U2278" s="205"/>
      <c r="V2278" s="205"/>
      <c r="W2278" s="205"/>
      <c r="X2278" s="205"/>
      <c r="Y2278" s="205"/>
      <c r="Z2278" s="205"/>
      <c r="AA2278" s="205"/>
      <c r="AB2278" s="205"/>
      <c r="AC2278" s="205"/>
      <c r="AD2278" s="205"/>
      <c r="AE2278" s="205"/>
      <c r="AF2278" s="205"/>
      <c r="AG2278" s="205"/>
      <c r="AH2278" s="205"/>
      <c r="AI2278" s="205"/>
      <c r="AJ2278" s="747"/>
    </row>
    <row r="2279" spans="1:36" ht="14" customHeight="1">
      <c r="A2279" s="124"/>
      <c r="B2279" s="124"/>
      <c r="C2279" s="124">
        <v>1</v>
      </c>
      <c r="D2279" s="124"/>
      <c r="E2279" s="124"/>
      <c r="F2279" s="674"/>
      <c r="G2279" s="674"/>
      <c r="H2279" s="964" t="s">
        <v>35</v>
      </c>
      <c r="I2279" s="964"/>
      <c r="J2279" s="403"/>
      <c r="K2279" s="403"/>
      <c r="L2279" s="454"/>
      <c r="M2279" s="454"/>
      <c r="N2279" s="454"/>
      <c r="O2279" s="454"/>
      <c r="P2279" s="454"/>
      <c r="Q2279" s="454"/>
      <c r="R2279" s="454"/>
      <c r="S2279" s="454"/>
      <c r="T2279" s="454"/>
      <c r="U2279" s="454"/>
      <c r="V2279" s="454"/>
      <c r="W2279" s="454"/>
      <c r="X2279" s="454"/>
      <c r="Y2279" s="454"/>
      <c r="Z2279" s="454"/>
      <c r="AA2279" s="454"/>
      <c r="AB2279" s="454"/>
      <c r="AC2279" s="454"/>
      <c r="AD2279" s="454"/>
      <c r="AE2279" s="454"/>
      <c r="AF2279" s="454"/>
      <c r="AG2279" s="454"/>
      <c r="AH2279" s="454"/>
      <c r="AI2279" s="454"/>
      <c r="AJ2279" s="769"/>
    </row>
    <row r="2280" spans="1:36" ht="14" customHeight="1">
      <c r="A2280" s="124"/>
      <c r="B2280" s="124"/>
      <c r="C2280" s="124"/>
      <c r="D2280" s="124">
        <v>5</v>
      </c>
      <c r="E2280" s="124" t="s">
        <v>199</v>
      </c>
      <c r="F2280" s="674"/>
      <c r="G2280" s="674"/>
      <c r="H2280" s="674"/>
      <c r="I2280" s="674" t="s">
        <v>185</v>
      </c>
      <c r="J2280" s="403"/>
      <c r="K2280" s="403"/>
      <c r="L2280" s="454"/>
      <c r="M2280" s="454"/>
      <c r="N2280" s="454"/>
      <c r="O2280" s="454"/>
      <c r="P2280" s="454"/>
      <c r="Q2280" s="454">
        <v>227000</v>
      </c>
      <c r="R2280" s="454"/>
      <c r="S2280" s="217">
        <f t="shared" ref="S2280" si="2653">SUM(M2280:R2280)</f>
        <v>227000</v>
      </c>
      <c r="T2280" s="217">
        <f t="shared" ref="T2280" si="2654">S2280+L2280</f>
        <v>227000</v>
      </c>
      <c r="U2280" s="454"/>
      <c r="V2280" s="454"/>
      <c r="W2280" s="454"/>
      <c r="X2280" s="454"/>
      <c r="Y2280" s="454"/>
      <c r="Z2280" s="217">
        <f>SUM(U2280:Y2280)</f>
        <v>0</v>
      </c>
      <c r="AA2280" s="217">
        <f>Z2280+T2280</f>
        <v>227000</v>
      </c>
      <c r="AB2280" s="454"/>
      <c r="AC2280" s="454"/>
      <c r="AD2280" s="454"/>
      <c r="AE2280" s="454"/>
      <c r="AF2280" s="454"/>
      <c r="AG2280" s="484">
        <f t="shared" ref="AG2280" si="2655">SUM(AB2280:AF2280)</f>
        <v>0</v>
      </c>
      <c r="AH2280" s="484">
        <f t="shared" ref="AH2280" si="2656">AG2280+AA2280</f>
        <v>227000</v>
      </c>
      <c r="AI2280" s="217">
        <v>227000</v>
      </c>
      <c r="AJ2280" s="764">
        <f>AI2280/AH2280*100</f>
        <v>100</v>
      </c>
    </row>
    <row r="2281" spans="1:36" ht="14">
      <c r="A2281" s="160"/>
      <c r="B2281" s="160"/>
      <c r="C2281" s="161"/>
      <c r="D2281" s="161"/>
      <c r="E2281" s="161"/>
      <c r="F2281" s="669"/>
      <c r="G2281" s="669"/>
      <c r="H2281" s="669"/>
      <c r="I2281" s="669"/>
      <c r="J2281" s="205"/>
      <c r="K2281" s="467"/>
      <c r="L2281" s="205"/>
      <c r="M2281" s="205"/>
      <c r="N2281" s="205"/>
      <c r="O2281" s="205"/>
      <c r="P2281" s="205"/>
      <c r="Q2281" s="205"/>
      <c r="R2281" s="205"/>
      <c r="S2281" s="205"/>
      <c r="T2281" s="205"/>
      <c r="U2281" s="205"/>
      <c r="V2281" s="205"/>
      <c r="W2281" s="205"/>
      <c r="X2281" s="205"/>
      <c r="Y2281" s="205"/>
      <c r="Z2281" s="205"/>
      <c r="AA2281" s="205"/>
      <c r="AB2281" s="205"/>
      <c r="AC2281" s="205"/>
      <c r="AD2281" s="205"/>
      <c r="AE2281" s="205"/>
      <c r="AF2281" s="205"/>
      <c r="AG2281" s="205"/>
      <c r="AH2281" s="205"/>
      <c r="AI2281" s="205"/>
      <c r="AJ2281" s="747"/>
    </row>
    <row r="2282" spans="1:36" ht="14">
      <c r="A2282" s="40"/>
      <c r="B2282" s="40"/>
      <c r="C2282" s="124"/>
      <c r="D2282" s="124"/>
      <c r="E2282" s="124"/>
      <c r="F2282" s="166"/>
      <c r="G2282" s="166"/>
      <c r="H2282" s="464"/>
      <c r="I2282" s="626" t="s">
        <v>37</v>
      </c>
      <c r="J2282" s="460">
        <f>SUM(J2278:J2281)</f>
        <v>1521910</v>
      </c>
      <c r="K2282" s="461">
        <f>SUM(K2278:K2281)</f>
        <v>0</v>
      </c>
      <c r="L2282" s="460">
        <f>SUM(L2278:L2281)</f>
        <v>0</v>
      </c>
      <c r="M2282" s="460">
        <f>SUM(M2278:M2281)</f>
        <v>0</v>
      </c>
      <c r="N2282" s="460">
        <f t="shared" ref="N2282:T2282" si="2657">SUM(N2278:N2281)</f>
        <v>0</v>
      </c>
      <c r="O2282" s="460">
        <f t="shared" si="2657"/>
        <v>0</v>
      </c>
      <c r="P2282" s="460">
        <f t="shared" si="2657"/>
        <v>0</v>
      </c>
      <c r="Q2282" s="460">
        <f t="shared" si="2657"/>
        <v>227000</v>
      </c>
      <c r="R2282" s="460">
        <f t="shared" si="2657"/>
        <v>0</v>
      </c>
      <c r="S2282" s="460">
        <f t="shared" si="2657"/>
        <v>227000</v>
      </c>
      <c r="T2282" s="460">
        <f t="shared" si="2657"/>
        <v>227000</v>
      </c>
      <c r="U2282" s="460"/>
      <c r="V2282" s="460"/>
      <c r="W2282" s="460"/>
      <c r="X2282" s="460"/>
      <c r="Y2282" s="460"/>
      <c r="Z2282" s="460">
        <f t="shared" ref="Z2282:AA2282" si="2658">SUM(Z2278:Z2281)</f>
        <v>0</v>
      </c>
      <c r="AA2282" s="460">
        <f t="shared" si="2658"/>
        <v>227000</v>
      </c>
      <c r="AB2282" s="460"/>
      <c r="AC2282" s="460"/>
      <c r="AD2282" s="460"/>
      <c r="AE2282" s="460"/>
      <c r="AF2282" s="460"/>
      <c r="AG2282" s="460">
        <f t="shared" ref="AG2282:AH2282" si="2659">SUM(AG2278:AG2281)</f>
        <v>0</v>
      </c>
      <c r="AH2282" s="460">
        <f t="shared" si="2659"/>
        <v>227000</v>
      </c>
      <c r="AI2282" s="460">
        <f t="shared" ref="AI2282" si="2660">SUM(AI2278:AI2281)</f>
        <v>227000</v>
      </c>
      <c r="AJ2282" s="776">
        <f>AI2282/AH2282*100</f>
        <v>100</v>
      </c>
    </row>
    <row r="2283" spans="1:36" s="45" customFormat="1" ht="14">
      <c r="A2283" s="103"/>
      <c r="B2283" s="103"/>
      <c r="C2283" s="104"/>
      <c r="D2283" s="104"/>
      <c r="E2283" s="104"/>
      <c r="F2283" s="24"/>
      <c r="G2283" s="25"/>
      <c r="H2283" s="25"/>
      <c r="I2283" s="25"/>
      <c r="J2283" s="46"/>
      <c r="K2283" s="159"/>
      <c r="L2283" s="157"/>
      <c r="M2283" s="157"/>
      <c r="N2283" s="157"/>
      <c r="O2283" s="157"/>
      <c r="P2283" s="157"/>
      <c r="Q2283" s="157"/>
      <c r="R2283" s="157"/>
      <c r="S2283" s="157"/>
      <c r="T2283" s="157"/>
      <c r="U2283" s="157"/>
      <c r="V2283" s="157"/>
      <c r="W2283" s="157"/>
      <c r="X2283" s="157"/>
      <c r="Y2283" s="157"/>
      <c r="Z2283" s="157"/>
      <c r="AA2283" s="157"/>
      <c r="AB2283" s="157"/>
      <c r="AC2283" s="157"/>
      <c r="AD2283" s="157"/>
      <c r="AE2283" s="157"/>
      <c r="AF2283" s="157"/>
      <c r="AG2283" s="157"/>
      <c r="AH2283" s="157"/>
      <c r="AI2283" s="157"/>
      <c r="AJ2283" s="749"/>
    </row>
    <row r="2284" spans="1:36" s="45" customFormat="1" ht="14">
      <c r="A2284" s="665"/>
      <c r="B2284" s="666"/>
      <c r="C2284" s="301"/>
      <c r="D2284" s="301"/>
      <c r="E2284" s="301"/>
      <c r="F2284" s="877" t="s">
        <v>200</v>
      </c>
      <c r="G2284" s="877"/>
      <c r="H2284" s="877"/>
      <c r="I2284" s="878"/>
      <c r="J2284" s="51">
        <f>J2254</f>
        <v>1521910</v>
      </c>
      <c r="K2284" s="207">
        <f>K2254</f>
        <v>0</v>
      </c>
      <c r="L2284" s="51">
        <f>L2254+L2274+L2268+L2255+L2262+L2256</f>
        <v>1521910</v>
      </c>
      <c r="M2284" s="51">
        <f t="shared" ref="M2284:T2284" si="2661">M2254+M2274+M2268+M2255+M2262+M2256+M2280</f>
        <v>17767862</v>
      </c>
      <c r="N2284" s="51">
        <f t="shared" si="2661"/>
        <v>0</v>
      </c>
      <c r="O2284" s="51">
        <f t="shared" si="2661"/>
        <v>0</v>
      </c>
      <c r="P2284" s="51">
        <f t="shared" si="2661"/>
        <v>0</v>
      </c>
      <c r="Q2284" s="51">
        <f t="shared" si="2661"/>
        <v>227000</v>
      </c>
      <c r="R2284" s="51">
        <f t="shared" si="2661"/>
        <v>0</v>
      </c>
      <c r="S2284" s="51">
        <f t="shared" si="2661"/>
        <v>17994862</v>
      </c>
      <c r="T2284" s="51">
        <f t="shared" si="2661"/>
        <v>19516772</v>
      </c>
      <c r="U2284" s="51"/>
      <c r="V2284" s="51"/>
      <c r="W2284" s="51"/>
      <c r="X2284" s="51"/>
      <c r="Y2284" s="51"/>
      <c r="Z2284" s="51">
        <f t="shared" ref="Z2284:AF2284" si="2662">Z2254+Z2274+Z2268+Z2255+Z2262+Z2256+Z2280</f>
        <v>0</v>
      </c>
      <c r="AA2284" s="51">
        <f t="shared" si="2662"/>
        <v>19516772</v>
      </c>
      <c r="AB2284" s="51">
        <f t="shared" si="2662"/>
        <v>0</v>
      </c>
      <c r="AC2284" s="51">
        <f t="shared" si="2662"/>
        <v>0</v>
      </c>
      <c r="AD2284" s="51">
        <f t="shared" si="2662"/>
        <v>0</v>
      </c>
      <c r="AE2284" s="51">
        <f t="shared" si="2662"/>
        <v>68</v>
      </c>
      <c r="AF2284" s="51">
        <f t="shared" si="2662"/>
        <v>0</v>
      </c>
      <c r="AG2284" s="51">
        <f t="shared" ref="AG2284:AH2284" si="2663">AG2254+AG2274+AG2268+AG2255+AG2262+AG2256+AG2280</f>
        <v>68</v>
      </c>
      <c r="AH2284" s="51">
        <f t="shared" si="2663"/>
        <v>19516840</v>
      </c>
      <c r="AI2284" s="51">
        <f t="shared" ref="AI2284" si="2664">AI2254+AI2274+AI2268+AI2255+AI2262+AI2256+AI2280</f>
        <v>19516840</v>
      </c>
      <c r="AJ2284" s="737">
        <f>AI2284/AH2284*100</f>
        <v>100</v>
      </c>
    </row>
    <row r="2285" spans="1:36" s="45" customFormat="1" ht="14.5" thickBot="1">
      <c r="A2285" s="628"/>
      <c r="B2285" s="628"/>
      <c r="C2285" s="629"/>
      <c r="D2285" s="629"/>
      <c r="E2285" s="629"/>
      <c r="F2285" s="135"/>
      <c r="G2285" s="135"/>
      <c r="H2285" s="135"/>
      <c r="I2285" s="135"/>
      <c r="J2285" s="172"/>
      <c r="K2285" s="215"/>
      <c r="L2285" s="172"/>
      <c r="M2285" s="172"/>
      <c r="N2285" s="172"/>
      <c r="O2285" s="172"/>
      <c r="P2285" s="172"/>
      <c r="Q2285" s="172"/>
      <c r="R2285" s="172"/>
      <c r="S2285" s="172"/>
      <c r="T2285" s="172"/>
      <c r="U2285" s="172"/>
      <c r="V2285" s="172"/>
      <c r="W2285" s="172"/>
      <c r="X2285" s="172"/>
      <c r="Y2285" s="172"/>
      <c r="Z2285" s="172"/>
      <c r="AA2285" s="172"/>
      <c r="AB2285" s="172"/>
      <c r="AC2285" s="172"/>
      <c r="AD2285" s="172"/>
      <c r="AE2285" s="172"/>
      <c r="AF2285" s="172"/>
      <c r="AG2285" s="172"/>
      <c r="AH2285" s="172"/>
      <c r="AI2285" s="172"/>
      <c r="AJ2285" s="798"/>
    </row>
    <row r="2286" spans="1:36" ht="15.75" customHeight="1" thickBot="1">
      <c r="A2286" s="589"/>
      <c r="B2286" s="675"/>
      <c r="C2286" s="590"/>
      <c r="D2286" s="590"/>
      <c r="E2286" s="590"/>
      <c r="F2286" s="965" t="s">
        <v>484</v>
      </c>
      <c r="G2286" s="965"/>
      <c r="H2286" s="965"/>
      <c r="I2286" s="966"/>
      <c r="J2286" s="592">
        <f>J2284</f>
        <v>1521910</v>
      </c>
      <c r="K2286" s="593">
        <f>K2284</f>
        <v>0</v>
      </c>
      <c r="L2286" s="594">
        <f>SUM(L2254:L2276)/2</f>
        <v>1521910</v>
      </c>
      <c r="M2286" s="594">
        <f t="shared" ref="M2286:T2286" si="2665">SUM(M2254:M2282)/2</f>
        <v>17767862</v>
      </c>
      <c r="N2286" s="594">
        <f t="shared" si="2665"/>
        <v>0</v>
      </c>
      <c r="O2286" s="594">
        <f t="shared" si="2665"/>
        <v>0</v>
      </c>
      <c r="P2286" s="594">
        <f t="shared" si="2665"/>
        <v>0</v>
      </c>
      <c r="Q2286" s="594">
        <f t="shared" si="2665"/>
        <v>227000</v>
      </c>
      <c r="R2286" s="594">
        <f t="shared" si="2665"/>
        <v>0</v>
      </c>
      <c r="S2286" s="594">
        <f t="shared" si="2665"/>
        <v>17994862</v>
      </c>
      <c r="T2286" s="594">
        <f t="shared" si="2665"/>
        <v>19516772</v>
      </c>
      <c r="U2286" s="594"/>
      <c r="V2286" s="594"/>
      <c r="W2286" s="594"/>
      <c r="X2286" s="594"/>
      <c r="Y2286" s="594"/>
      <c r="Z2286" s="594">
        <f t="shared" ref="Z2286:AF2286" si="2666">SUM(Z2254:Z2282)/2</f>
        <v>0</v>
      </c>
      <c r="AA2286" s="594">
        <f t="shared" si="2666"/>
        <v>19516772</v>
      </c>
      <c r="AB2286" s="594">
        <f t="shared" si="2666"/>
        <v>0</v>
      </c>
      <c r="AC2286" s="594">
        <f t="shared" si="2666"/>
        <v>0</v>
      </c>
      <c r="AD2286" s="594">
        <f t="shared" si="2666"/>
        <v>0</v>
      </c>
      <c r="AE2286" s="594">
        <f t="shared" si="2666"/>
        <v>68</v>
      </c>
      <c r="AF2286" s="594">
        <f t="shared" si="2666"/>
        <v>0</v>
      </c>
      <c r="AG2286" s="594">
        <f t="shared" ref="AG2286:AH2286" si="2667">SUM(AG2254:AG2282)/2</f>
        <v>68</v>
      </c>
      <c r="AH2286" s="594">
        <f t="shared" si="2667"/>
        <v>19516840</v>
      </c>
      <c r="AI2286" s="594">
        <f t="shared" ref="AI2286" si="2668">SUM(AI2254:AI2282)/2</f>
        <v>19516840</v>
      </c>
      <c r="AJ2286" s="793">
        <f>AI2286/AH2286*100</f>
        <v>100</v>
      </c>
    </row>
    <row r="2287" spans="1:36" s="45" customFormat="1" ht="15.75" customHeight="1">
      <c r="A2287" s="630"/>
      <c r="B2287" s="630"/>
      <c r="C2287" s="631"/>
      <c r="D2287" s="631"/>
      <c r="E2287" s="631"/>
      <c r="F2287" s="134"/>
      <c r="G2287" s="135"/>
      <c r="H2287" s="135"/>
      <c r="I2287" s="136"/>
      <c r="J2287" s="137"/>
      <c r="K2287" s="216"/>
      <c r="L2287" s="222"/>
      <c r="M2287" s="222"/>
      <c r="N2287" s="222"/>
      <c r="O2287" s="222"/>
      <c r="P2287" s="222"/>
      <c r="Q2287" s="222"/>
      <c r="R2287" s="222"/>
      <c r="S2287" s="222"/>
      <c r="T2287" s="222"/>
      <c r="U2287" s="222"/>
      <c r="V2287" s="222"/>
      <c r="W2287" s="222"/>
      <c r="X2287" s="222"/>
      <c r="Y2287" s="222"/>
      <c r="Z2287" s="222"/>
      <c r="AA2287" s="222"/>
      <c r="AB2287" s="222"/>
      <c r="AC2287" s="222"/>
      <c r="AD2287" s="222"/>
      <c r="AE2287" s="222"/>
      <c r="AF2287" s="222"/>
      <c r="AG2287" s="222"/>
      <c r="AH2287" s="222"/>
      <c r="AI2287" s="222"/>
      <c r="AJ2287" s="799"/>
    </row>
    <row r="2288" spans="1:36" s="45" customFormat="1" ht="15.75" customHeight="1">
      <c r="A2288" s="665"/>
      <c r="B2288" s="666"/>
      <c r="C2288" s="301"/>
      <c r="D2288" s="301"/>
      <c r="E2288" s="301"/>
      <c r="F2288" s="877" t="s">
        <v>251</v>
      </c>
      <c r="G2288" s="877"/>
      <c r="H2288" s="877"/>
      <c r="I2288" s="878"/>
      <c r="J2288" s="51">
        <f t="shared" ref="J2288:AI2288" si="2669">J171</f>
        <v>42049965</v>
      </c>
      <c r="K2288" s="207">
        <f t="shared" si="2669"/>
        <v>0</v>
      </c>
      <c r="L2288" s="51">
        <f t="shared" si="2669"/>
        <v>42049965</v>
      </c>
      <c r="M2288" s="51">
        <f t="shared" si="2669"/>
        <v>421527</v>
      </c>
      <c r="N2288" s="51">
        <f t="shared" si="2669"/>
        <v>0</v>
      </c>
      <c r="O2288" s="51">
        <f t="shared" si="2669"/>
        <v>0</v>
      </c>
      <c r="P2288" s="51">
        <f t="shared" si="2669"/>
        <v>0</v>
      </c>
      <c r="Q2288" s="51">
        <f t="shared" si="2669"/>
        <v>-227000</v>
      </c>
      <c r="R2288" s="51">
        <f t="shared" si="2669"/>
        <v>0</v>
      </c>
      <c r="S2288" s="51">
        <f t="shared" si="2669"/>
        <v>194527</v>
      </c>
      <c r="T2288" s="51">
        <f t="shared" si="2669"/>
        <v>42244492</v>
      </c>
      <c r="U2288" s="51">
        <f t="shared" si="2669"/>
        <v>0</v>
      </c>
      <c r="V2288" s="51">
        <f t="shared" si="2669"/>
        <v>0</v>
      </c>
      <c r="W2288" s="51">
        <f t="shared" si="2669"/>
        <v>4048000</v>
      </c>
      <c r="X2288" s="51">
        <f t="shared" si="2669"/>
        <v>0</v>
      </c>
      <c r="Y2288" s="51">
        <f t="shared" si="2669"/>
        <v>0</v>
      </c>
      <c r="Z2288" s="51">
        <f t="shared" si="2669"/>
        <v>4048000</v>
      </c>
      <c r="AA2288" s="51">
        <f t="shared" si="2669"/>
        <v>46292492</v>
      </c>
      <c r="AB2288" s="51">
        <f t="shared" si="2669"/>
        <v>0</v>
      </c>
      <c r="AC2288" s="51">
        <f t="shared" si="2669"/>
        <v>2963429</v>
      </c>
      <c r="AD2288" s="51">
        <f t="shared" si="2669"/>
        <v>3511000</v>
      </c>
      <c r="AE2288" s="51">
        <f t="shared" si="2669"/>
        <v>0</v>
      </c>
      <c r="AF2288" s="51">
        <f t="shared" si="2669"/>
        <v>0</v>
      </c>
      <c r="AG2288" s="51">
        <f t="shared" si="2669"/>
        <v>6474429</v>
      </c>
      <c r="AH2288" s="51">
        <f t="shared" si="2669"/>
        <v>52766921</v>
      </c>
      <c r="AI2288" s="51">
        <f t="shared" si="2669"/>
        <v>51323630</v>
      </c>
      <c r="AJ2288" s="737">
        <f>AI2288/AH2288*100</f>
        <v>97.264780713659604</v>
      </c>
    </row>
    <row r="2289" spans="1:36" s="45" customFormat="1" ht="15.75" customHeight="1">
      <c r="A2289" s="103"/>
      <c r="B2289" s="103"/>
      <c r="C2289" s="104"/>
      <c r="D2289" s="104"/>
      <c r="E2289" s="104"/>
      <c r="F2289" s="24"/>
      <c r="G2289" s="25"/>
      <c r="H2289" s="25"/>
      <c r="I2289" s="25"/>
      <c r="J2289" s="46"/>
      <c r="K2289" s="159"/>
      <c r="L2289" s="157"/>
      <c r="M2289" s="157"/>
      <c r="N2289" s="157"/>
      <c r="O2289" s="157"/>
      <c r="P2289" s="157"/>
      <c r="Q2289" s="157"/>
      <c r="R2289" s="157"/>
      <c r="S2289" s="157"/>
      <c r="T2289" s="157"/>
      <c r="U2289" s="157"/>
      <c r="V2289" s="157"/>
      <c r="W2289" s="157"/>
      <c r="X2289" s="157"/>
      <c r="Y2289" s="157"/>
      <c r="Z2289" s="157"/>
      <c r="AA2289" s="157"/>
      <c r="AB2289" s="157"/>
      <c r="AC2289" s="157"/>
      <c r="AD2289" s="157"/>
      <c r="AE2289" s="157"/>
      <c r="AF2289" s="157"/>
      <c r="AG2289" s="157"/>
      <c r="AH2289" s="157"/>
      <c r="AI2289" s="157"/>
      <c r="AJ2289" s="749"/>
    </row>
    <row r="2290" spans="1:36" s="45" customFormat="1" ht="15.75" customHeight="1">
      <c r="A2290" s="665"/>
      <c r="B2290" s="666"/>
      <c r="C2290" s="301"/>
      <c r="D2290" s="301"/>
      <c r="E2290" s="301"/>
      <c r="F2290" s="877" t="s">
        <v>200</v>
      </c>
      <c r="G2290" s="877"/>
      <c r="H2290" s="877"/>
      <c r="I2290" s="878"/>
      <c r="J2290" s="51">
        <f t="shared" ref="J2290:AI2290" si="2670">J2284+J2247+J2234+J2203+J2174+J2053+J173</f>
        <v>14823814118.5</v>
      </c>
      <c r="K2290" s="207">
        <f t="shared" si="2670"/>
        <v>24015685106</v>
      </c>
      <c r="L2290" s="51">
        <f t="shared" si="2670"/>
        <v>38659113653</v>
      </c>
      <c r="M2290" s="51">
        <f t="shared" si="2670"/>
        <v>1900740559</v>
      </c>
      <c r="N2290" s="51">
        <f t="shared" si="2670"/>
        <v>111560010</v>
      </c>
      <c r="O2290" s="51">
        <f t="shared" si="2670"/>
        <v>156666314</v>
      </c>
      <c r="P2290" s="51">
        <f t="shared" si="2670"/>
        <v>20187791</v>
      </c>
      <c r="Q2290" s="51">
        <f t="shared" si="2670"/>
        <v>6947937946</v>
      </c>
      <c r="R2290" s="51">
        <f t="shared" si="2670"/>
        <v>240651215</v>
      </c>
      <c r="S2290" s="51">
        <f t="shared" si="2670"/>
        <v>9377743835</v>
      </c>
      <c r="T2290" s="51">
        <f t="shared" si="2670"/>
        <v>48036857488</v>
      </c>
      <c r="U2290" s="51">
        <f t="shared" si="2670"/>
        <v>118437396</v>
      </c>
      <c r="V2290" s="51">
        <f t="shared" si="2670"/>
        <v>-6235168</v>
      </c>
      <c r="W2290" s="51">
        <f t="shared" si="2670"/>
        <v>46516464</v>
      </c>
      <c r="X2290" s="51">
        <f t="shared" si="2670"/>
        <v>1207514277</v>
      </c>
      <c r="Y2290" s="51">
        <f t="shared" si="2670"/>
        <v>216095062</v>
      </c>
      <c r="Z2290" s="51">
        <f t="shared" si="2670"/>
        <v>1582328031</v>
      </c>
      <c r="AA2290" s="51">
        <f t="shared" si="2670"/>
        <v>49616725519</v>
      </c>
      <c r="AB2290" s="51">
        <f t="shared" si="2670"/>
        <v>1342591235</v>
      </c>
      <c r="AC2290" s="51">
        <f t="shared" si="2670"/>
        <v>-5290260355</v>
      </c>
      <c r="AD2290" s="51">
        <f t="shared" si="2670"/>
        <v>-906552138</v>
      </c>
      <c r="AE2290" s="51">
        <f t="shared" si="2670"/>
        <v>330046636</v>
      </c>
      <c r="AF2290" s="51">
        <f t="shared" si="2670"/>
        <v>76674623</v>
      </c>
      <c r="AG2290" s="51">
        <f t="shared" si="2670"/>
        <v>-4447499999</v>
      </c>
      <c r="AH2290" s="51">
        <f t="shared" si="2670"/>
        <v>45169225520</v>
      </c>
      <c r="AI2290" s="51">
        <f t="shared" si="2670"/>
        <v>25488949248</v>
      </c>
      <c r="AJ2290" s="737">
        <f>AI2290/AH2290*100</f>
        <v>56.429901010177872</v>
      </c>
    </row>
    <row r="2291" spans="1:36" s="45" customFormat="1" ht="15.75" customHeight="1">
      <c r="A2291" s="103"/>
      <c r="B2291" s="103"/>
      <c r="C2291" s="104"/>
      <c r="D2291" s="104"/>
      <c r="E2291" s="104"/>
      <c r="F2291" s="24"/>
      <c r="G2291" s="25"/>
      <c r="H2291" s="25"/>
      <c r="I2291" s="25"/>
      <c r="J2291" s="46"/>
      <c r="K2291" s="159"/>
      <c r="L2291" s="157"/>
      <c r="M2291" s="157"/>
      <c r="N2291" s="157"/>
      <c r="O2291" s="157"/>
      <c r="P2291" s="157"/>
      <c r="Q2291" s="157"/>
      <c r="R2291" s="157"/>
      <c r="S2291" s="157"/>
      <c r="T2291" s="157"/>
      <c r="U2291" s="157"/>
      <c r="V2291" s="157"/>
      <c r="W2291" s="157"/>
      <c r="X2291" s="157"/>
      <c r="Y2291" s="157"/>
      <c r="Z2291" s="157"/>
      <c r="AA2291" s="157"/>
      <c r="AB2291" s="157"/>
      <c r="AC2291" s="157"/>
      <c r="AD2291" s="157"/>
      <c r="AE2291" s="157"/>
      <c r="AF2291" s="157"/>
      <c r="AG2291" s="157"/>
      <c r="AH2291" s="157"/>
      <c r="AI2291" s="157"/>
      <c r="AJ2291" s="749"/>
    </row>
    <row r="2292" spans="1:36" s="45" customFormat="1" ht="15.75" customHeight="1">
      <c r="A2292" s="665"/>
      <c r="B2292" s="666"/>
      <c r="C2292" s="301"/>
      <c r="D2292" s="301"/>
      <c r="E2292" s="301"/>
      <c r="F2292" s="877" t="s">
        <v>201</v>
      </c>
      <c r="G2292" s="877"/>
      <c r="H2292" s="877"/>
      <c r="I2292" s="878" t="s">
        <v>197</v>
      </c>
      <c r="J2292" s="51">
        <f t="shared" ref="J2292:AI2292" si="2671">J2236+J2205+J2176+J2055+J175</f>
        <v>712151548</v>
      </c>
      <c r="K2292" s="207">
        <f t="shared" si="2671"/>
        <v>35718505</v>
      </c>
      <c r="L2292" s="51">
        <f t="shared" si="2671"/>
        <v>747870053</v>
      </c>
      <c r="M2292" s="51">
        <f t="shared" si="2671"/>
        <v>159119574</v>
      </c>
      <c r="N2292" s="51">
        <f t="shared" si="2671"/>
        <v>0</v>
      </c>
      <c r="O2292" s="51">
        <f t="shared" si="2671"/>
        <v>85264000</v>
      </c>
      <c r="P2292" s="51">
        <f t="shared" si="2671"/>
        <v>39996340</v>
      </c>
      <c r="Q2292" s="51">
        <f t="shared" si="2671"/>
        <v>2358740</v>
      </c>
      <c r="R2292" s="51">
        <f t="shared" si="2671"/>
        <v>0</v>
      </c>
      <c r="S2292" s="51">
        <f t="shared" si="2671"/>
        <v>286738654</v>
      </c>
      <c r="T2292" s="51">
        <f t="shared" si="2671"/>
        <v>1033429467</v>
      </c>
      <c r="U2292" s="51">
        <f t="shared" si="2671"/>
        <v>0</v>
      </c>
      <c r="V2292" s="51">
        <f t="shared" si="2671"/>
        <v>14000000</v>
      </c>
      <c r="W2292" s="51">
        <f t="shared" si="2671"/>
        <v>9335215</v>
      </c>
      <c r="X2292" s="51">
        <f t="shared" si="2671"/>
        <v>-5054277</v>
      </c>
      <c r="Y2292" s="51">
        <f t="shared" si="2671"/>
        <v>287350</v>
      </c>
      <c r="Z2292" s="51">
        <f t="shared" si="2671"/>
        <v>18568288</v>
      </c>
      <c r="AA2292" s="51">
        <f t="shared" si="2671"/>
        <v>1051997755</v>
      </c>
      <c r="AB2292" s="51">
        <f t="shared" si="2671"/>
        <v>0</v>
      </c>
      <c r="AC2292" s="51">
        <f t="shared" si="2671"/>
        <v>2234490</v>
      </c>
      <c r="AD2292" s="51">
        <f t="shared" si="2671"/>
        <v>-5683346</v>
      </c>
      <c r="AE2292" s="51">
        <f t="shared" si="2671"/>
        <v>-27297459</v>
      </c>
      <c r="AF2292" s="51">
        <f t="shared" si="2671"/>
        <v>7547319</v>
      </c>
      <c r="AG2292" s="51">
        <f t="shared" si="2671"/>
        <v>-23198996</v>
      </c>
      <c r="AH2292" s="51">
        <f t="shared" si="2671"/>
        <v>1028798759</v>
      </c>
      <c r="AI2292" s="51">
        <f t="shared" si="2671"/>
        <v>717730558</v>
      </c>
      <c r="AJ2292" s="737">
        <f>AI2292/AH2292*100</f>
        <v>69.763940879714852</v>
      </c>
    </row>
    <row r="2293" spans="1:36" ht="15.75" customHeight="1" thickBot="1">
      <c r="A2293" s="441"/>
      <c r="B2293" s="441"/>
      <c r="C2293" s="133"/>
      <c r="D2293" s="133"/>
      <c r="E2293" s="133"/>
      <c r="F2293" s="450"/>
      <c r="G2293" s="449"/>
      <c r="H2293" s="450"/>
      <c r="I2293" s="602"/>
      <c r="J2293" s="523"/>
      <c r="K2293" s="603"/>
      <c r="L2293" s="540"/>
      <c r="M2293" s="540"/>
      <c r="N2293" s="540"/>
      <c r="O2293" s="540"/>
      <c r="P2293" s="540"/>
      <c r="Q2293" s="540"/>
      <c r="R2293" s="540"/>
      <c r="S2293" s="540"/>
      <c r="T2293" s="540"/>
      <c r="U2293" s="540"/>
      <c r="V2293" s="540"/>
      <c r="W2293" s="540"/>
      <c r="X2293" s="540"/>
      <c r="Y2293" s="540"/>
      <c r="Z2293" s="540"/>
      <c r="AA2293" s="540"/>
      <c r="AB2293" s="540"/>
      <c r="AC2293" s="540"/>
      <c r="AD2293" s="540"/>
      <c r="AE2293" s="540"/>
      <c r="AF2293" s="540"/>
      <c r="AG2293" s="540"/>
      <c r="AH2293" s="540"/>
      <c r="AI2293" s="540"/>
      <c r="AJ2293" s="781"/>
    </row>
    <row r="2294" spans="1:36" ht="19.5" customHeight="1" thickBot="1">
      <c r="A2294" s="580"/>
      <c r="B2294" s="581"/>
      <c r="C2294" s="582"/>
      <c r="D2294" s="582"/>
      <c r="E2294" s="582"/>
      <c r="F2294" s="960" t="s">
        <v>60</v>
      </c>
      <c r="G2294" s="960"/>
      <c r="H2294" s="960"/>
      <c r="I2294" s="961"/>
      <c r="J2294" s="632">
        <f t="shared" ref="J2294:AI2294" si="2672">J2286+J2249+J2238+J2207+J2178+J2057+J177</f>
        <v>15578015631.5</v>
      </c>
      <c r="K2294" s="633">
        <f t="shared" si="2672"/>
        <v>24051403611</v>
      </c>
      <c r="L2294" s="634">
        <f t="shared" si="2672"/>
        <v>39449033671</v>
      </c>
      <c r="M2294" s="634">
        <f t="shared" si="2672"/>
        <v>2060281660</v>
      </c>
      <c r="N2294" s="634">
        <f t="shared" si="2672"/>
        <v>111560010</v>
      </c>
      <c r="O2294" s="634">
        <f t="shared" si="2672"/>
        <v>241930314</v>
      </c>
      <c r="P2294" s="634">
        <f t="shared" si="2672"/>
        <v>60184131</v>
      </c>
      <c r="Q2294" s="634">
        <f t="shared" si="2672"/>
        <v>6950069686</v>
      </c>
      <c r="R2294" s="634">
        <f t="shared" si="2672"/>
        <v>240651215</v>
      </c>
      <c r="S2294" s="634">
        <f t="shared" si="2672"/>
        <v>9664677016</v>
      </c>
      <c r="T2294" s="634">
        <f t="shared" si="2672"/>
        <v>49112531447</v>
      </c>
      <c r="U2294" s="634">
        <f t="shared" si="2672"/>
        <v>118437396</v>
      </c>
      <c r="V2294" s="634">
        <f t="shared" si="2672"/>
        <v>7764832</v>
      </c>
      <c r="W2294" s="634">
        <f t="shared" si="2672"/>
        <v>59899679</v>
      </c>
      <c r="X2294" s="634">
        <f t="shared" si="2672"/>
        <v>1202460000</v>
      </c>
      <c r="Y2294" s="634">
        <f t="shared" si="2672"/>
        <v>216382412</v>
      </c>
      <c r="Z2294" s="634">
        <f t="shared" si="2672"/>
        <v>1604944319</v>
      </c>
      <c r="AA2294" s="634">
        <f t="shared" si="2672"/>
        <v>50715015766</v>
      </c>
      <c r="AB2294" s="634">
        <f t="shared" si="2672"/>
        <v>1342591235</v>
      </c>
      <c r="AC2294" s="634">
        <f t="shared" si="2672"/>
        <v>-5285062436</v>
      </c>
      <c r="AD2294" s="634">
        <f t="shared" si="2672"/>
        <v>-908724484</v>
      </c>
      <c r="AE2294" s="634">
        <f t="shared" si="2672"/>
        <v>302749177</v>
      </c>
      <c r="AF2294" s="634">
        <f t="shared" si="2672"/>
        <v>84221942</v>
      </c>
      <c r="AG2294" s="634">
        <f t="shared" si="2672"/>
        <v>-4464224566</v>
      </c>
      <c r="AH2294" s="634">
        <f t="shared" si="2672"/>
        <v>46250791200</v>
      </c>
      <c r="AI2294" s="634">
        <f t="shared" si="2672"/>
        <v>26258003436</v>
      </c>
      <c r="AJ2294" s="800">
        <f>AI2294/AH2294*100</f>
        <v>56.773090264453685</v>
      </c>
    </row>
  </sheetData>
  <mergeCells count="227">
    <mergeCell ref="G1736:I1736"/>
    <mergeCell ref="F1975:I1975"/>
    <mergeCell ref="G2002:I2002"/>
    <mergeCell ref="G2010:I2010"/>
    <mergeCell ref="G2018:I2018"/>
    <mergeCell ref="F2028:I2028"/>
    <mergeCell ref="AI4:AI6"/>
    <mergeCell ref="AJ4:AJ6"/>
    <mergeCell ref="AI2226:AI2227"/>
    <mergeCell ref="AJ2226:AJ2227"/>
    <mergeCell ref="AB4:AG4"/>
    <mergeCell ref="AH4:AH6"/>
    <mergeCell ref="AB5:AB6"/>
    <mergeCell ref="AC5:AC6"/>
    <mergeCell ref="AD5:AD6"/>
    <mergeCell ref="AE5:AE6"/>
    <mergeCell ref="AF5:AF6"/>
    <mergeCell ref="AG5:AG6"/>
    <mergeCell ref="F1532:I1532"/>
    <mergeCell ref="F173:I173"/>
    <mergeCell ref="F1214:I1214"/>
    <mergeCell ref="F1220:I1220"/>
    <mergeCell ref="G762:I762"/>
    <mergeCell ref="G768:I768"/>
    <mergeCell ref="G774:I774"/>
    <mergeCell ref="F1403:I1403"/>
    <mergeCell ref="G1081:I1081"/>
    <mergeCell ref="G1073:I1073"/>
    <mergeCell ref="G780:I780"/>
    <mergeCell ref="G786:I786"/>
    <mergeCell ref="G792:I792"/>
    <mergeCell ref="G798:I798"/>
    <mergeCell ref="G804:I804"/>
    <mergeCell ref="G810:I810"/>
    <mergeCell ref="G1097:I1097"/>
    <mergeCell ref="F1226:I1226"/>
    <mergeCell ref="F1232:I1232"/>
    <mergeCell ref="M2226:M2227"/>
    <mergeCell ref="E2226:E2227"/>
    <mergeCell ref="D2226:D2227"/>
    <mergeCell ref="L2226:L2227"/>
    <mergeCell ref="F2059:I2059"/>
    <mergeCell ref="K2226:K2227"/>
    <mergeCell ref="F2221:I2221"/>
    <mergeCell ref="F2226:I2226"/>
    <mergeCell ref="J2226:J2227"/>
    <mergeCell ref="F2073:I2073"/>
    <mergeCell ref="F2079:I2079"/>
    <mergeCell ref="F2061:I2061"/>
    <mergeCell ref="F2067:I2067"/>
    <mergeCell ref="F2144:I2144"/>
    <mergeCell ref="F2292:I2292"/>
    <mergeCell ref="F2236:I2236"/>
    <mergeCell ref="F2249:I2249"/>
    <mergeCell ref="F2247:I2247"/>
    <mergeCell ref="A2226:A2227"/>
    <mergeCell ref="G529:I529"/>
    <mergeCell ref="F1238:I1238"/>
    <mergeCell ref="F984:I984"/>
    <mergeCell ref="F990:I990"/>
    <mergeCell ref="F1550:I1550"/>
    <mergeCell ref="F1546:I1546"/>
    <mergeCell ref="F1407:I1407"/>
    <mergeCell ref="F1312:I1312"/>
    <mergeCell ref="F1066:I1066"/>
    <mergeCell ref="F883:I883"/>
    <mergeCell ref="F2051:I2051"/>
    <mergeCell ref="F2053:I2053"/>
    <mergeCell ref="F2055:I2055"/>
    <mergeCell ref="F2176:I2176"/>
    <mergeCell ref="F1250:I1250"/>
    <mergeCell ref="F996:I996"/>
    <mergeCell ref="F1059:I1059"/>
    <mergeCell ref="F1769:I1769"/>
    <mergeCell ref="F1819:I1819"/>
    <mergeCell ref="F2238:I2238"/>
    <mergeCell ref="F2288:I2288"/>
    <mergeCell ref="G2183:I2183"/>
    <mergeCell ref="F2290:I2290"/>
    <mergeCell ref="F2234:I2234"/>
    <mergeCell ref="F2203:I2203"/>
    <mergeCell ref="F2205:I2205"/>
    <mergeCell ref="F2174:I2174"/>
    <mergeCell ref="F2085:I2085"/>
    <mergeCell ref="F2091:I2091"/>
    <mergeCell ref="F2097:I2097"/>
    <mergeCell ref="G2098:I2098"/>
    <mergeCell ref="F2138:I2138"/>
    <mergeCell ref="F2131:I2131"/>
    <mergeCell ref="F2112:I2112"/>
    <mergeCell ref="F2119:I2119"/>
    <mergeCell ref="F2125:I2125"/>
    <mergeCell ref="G2104:I2104"/>
    <mergeCell ref="F2150:I2150"/>
    <mergeCell ref="F2156:I2156"/>
    <mergeCell ref="F2162:I2162"/>
    <mergeCell ref="F2168:I2168"/>
    <mergeCell ref="F2294:I2294"/>
    <mergeCell ref="F2237:I2237"/>
    <mergeCell ref="F2225:I2225"/>
    <mergeCell ref="F1932:I1932"/>
    <mergeCell ref="G1089:I1089"/>
    <mergeCell ref="F2278:I2278"/>
    <mergeCell ref="H2279:I2279"/>
    <mergeCell ref="F2272:I2272"/>
    <mergeCell ref="H2273:I2273"/>
    <mergeCell ref="F2286:I2286"/>
    <mergeCell ref="H2255:I2255"/>
    <mergeCell ref="F2260:I2260"/>
    <mergeCell ref="H2261:I2261"/>
    <mergeCell ref="F2266:I2266"/>
    <mergeCell ref="F2218:I2218"/>
    <mergeCell ref="F2220:I2220"/>
    <mergeCell ref="H2267:I2267"/>
    <mergeCell ref="F1894:I1894"/>
    <mergeCell ref="F1900:I1900"/>
    <mergeCell ref="F1908:I1908"/>
    <mergeCell ref="F1914:I1914"/>
    <mergeCell ref="F2254:I2254"/>
    <mergeCell ref="F2284:I2284"/>
    <mergeCell ref="F1920:I1920"/>
    <mergeCell ref="F2047:I2047"/>
    <mergeCell ref="F1859:I1859"/>
    <mergeCell ref="F1926:I1926"/>
    <mergeCell ref="F2049:I2049"/>
    <mergeCell ref="F1744:I1744"/>
    <mergeCell ref="F1750:I1750"/>
    <mergeCell ref="F1886:I1886"/>
    <mergeCell ref="F1833:I1833"/>
    <mergeCell ref="F1839:I1839"/>
    <mergeCell ref="F1845:I1845"/>
    <mergeCell ref="F1752:I1752"/>
    <mergeCell ref="F1790:I1790"/>
    <mergeCell ref="F1804:I1804"/>
    <mergeCell ref="F1813:I1813"/>
    <mergeCell ref="F1796:I1796"/>
    <mergeCell ref="F2041:I2041"/>
    <mergeCell ref="F2034:I2034"/>
    <mergeCell ref="F2038:I2038"/>
    <mergeCell ref="F1880:I1880"/>
    <mergeCell ref="F1853:I1853"/>
    <mergeCell ref="F1754:I1754"/>
    <mergeCell ref="G1770:I1770"/>
    <mergeCell ref="G1776:I1776"/>
    <mergeCell ref="F2036:I2036"/>
    <mergeCell ref="G1648:I1648"/>
    <mergeCell ref="F1827:I1827"/>
    <mergeCell ref="O5:O6"/>
    <mergeCell ref="P5:P6"/>
    <mergeCell ref="G1696:I1696"/>
    <mergeCell ref="G1730:I1730"/>
    <mergeCell ref="F406:I406"/>
    <mergeCell ref="G460:I460"/>
    <mergeCell ref="F953:I953"/>
    <mergeCell ref="G392:I392"/>
    <mergeCell ref="G544:I544"/>
    <mergeCell ref="G1720:I1720"/>
    <mergeCell ref="F972:I972"/>
    <mergeCell ref="F978:I978"/>
    <mergeCell ref="G538:I538"/>
    <mergeCell ref="G523:I523"/>
    <mergeCell ref="G644:I644"/>
    <mergeCell ref="F171:I171"/>
    <mergeCell ref="G1656:I1656"/>
    <mergeCell ref="G1664:I1664"/>
    <mergeCell ref="F169:I169"/>
    <mergeCell ref="F1053:I1053"/>
    <mergeCell ref="F1165:I1165"/>
    <mergeCell ref="F1385:I1385"/>
    <mergeCell ref="G1680:I1680"/>
    <mergeCell ref="G1688:I1688"/>
    <mergeCell ref="S2226:S2227"/>
    <mergeCell ref="T4:T6"/>
    <mergeCell ref="M4:S4"/>
    <mergeCell ref="F4:I5"/>
    <mergeCell ref="Q5:Q6"/>
    <mergeCell ref="R5:R6"/>
    <mergeCell ref="F1938:I1938"/>
    <mergeCell ref="F1944:I1944"/>
    <mergeCell ref="F1950:I1950"/>
    <mergeCell ref="F1956:I1956"/>
    <mergeCell ref="N5:N6"/>
    <mergeCell ref="K5:K6"/>
    <mergeCell ref="F8:I8"/>
    <mergeCell ref="J5:J6"/>
    <mergeCell ref="F1306:I1306"/>
    <mergeCell ref="F929:I929"/>
    <mergeCell ref="G472:I472"/>
    <mergeCell ref="T2226:T2227"/>
    <mergeCell ref="G1704:I1704"/>
    <mergeCell ref="F1548:I1548"/>
    <mergeCell ref="M5:M6"/>
    <mergeCell ref="S5:S6"/>
    <mergeCell ref="A4:A6"/>
    <mergeCell ref="B4:B6"/>
    <mergeCell ref="C4:C6"/>
    <mergeCell ref="D4:D6"/>
    <mergeCell ref="E4:E6"/>
    <mergeCell ref="L4:L6"/>
    <mergeCell ref="G1712:I1712"/>
    <mergeCell ref="G1496:I1496"/>
    <mergeCell ref="F1405:I1405"/>
    <mergeCell ref="F1335:I1335"/>
    <mergeCell ref="G550:I550"/>
    <mergeCell ref="F1240:I1240"/>
    <mergeCell ref="F1242:I1242"/>
    <mergeCell ref="G1067:I1067"/>
    <mergeCell ref="F175:I175"/>
    <mergeCell ref="G182:I182"/>
    <mergeCell ref="F965:I965"/>
    <mergeCell ref="F391:I391"/>
    <mergeCell ref="G466:I466"/>
    <mergeCell ref="F923:I923"/>
    <mergeCell ref="F959:I959"/>
    <mergeCell ref="G398:I398"/>
    <mergeCell ref="G454:I454"/>
    <mergeCell ref="G1672:I1672"/>
    <mergeCell ref="Z2226:Z2227"/>
    <mergeCell ref="AA2226:AA2227"/>
    <mergeCell ref="U4:Z4"/>
    <mergeCell ref="AA4:AA6"/>
    <mergeCell ref="U5:U6"/>
    <mergeCell ref="V5:V6"/>
    <mergeCell ref="W5:W6"/>
    <mergeCell ref="X5:X6"/>
    <mergeCell ref="Y5:Y6"/>
    <mergeCell ref="Z5:Z6"/>
  </mergeCells>
  <phoneticPr fontId="0" type="noConversion"/>
  <printOptions horizontalCentered="1"/>
  <pageMargins left="0.25" right="0.28000000000000003" top="0.82677165354330717" bottom="0.78740157480314965" header="0.51181102362204722" footer="0.51181102362204722"/>
  <pageSetup paperSize="9" scale="70" orientation="portrait" r:id="rId1"/>
  <headerFooter alignWithMargins="0">
    <oddHeader>&amp;C&amp;"Times New Roman CE,Normál"2. melléklet - &amp;P. oldal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BF58"/>
  <sheetViews>
    <sheetView showGridLines="0" view="pageBreakPreview" topLeftCell="A37" zoomScaleNormal="100" zoomScaleSheetLayoutView="100" workbookViewId="0">
      <selection activeCell="A35" sqref="A35"/>
    </sheetView>
  </sheetViews>
  <sheetFormatPr defaultColWidth="9.1796875" defaultRowHeight="13"/>
  <cols>
    <col min="1" max="1" width="59.54296875" style="3" customWidth="1"/>
    <col min="2" max="2" width="6.54296875" style="32" customWidth="1"/>
    <col min="3" max="3" width="13.453125" style="60" hidden="1" customWidth="1"/>
    <col min="4" max="4" width="12.54296875" style="60" hidden="1" customWidth="1"/>
    <col min="5" max="5" width="12.453125" style="60" customWidth="1"/>
    <col min="6" max="6" width="12.1796875" style="60" hidden="1" customWidth="1"/>
    <col min="7" max="7" width="10.7265625" style="60" hidden="1" customWidth="1"/>
    <col min="8" max="8" width="11.08984375" style="60" hidden="1" customWidth="1"/>
    <col min="9" max="9" width="10.26953125" style="60" hidden="1" customWidth="1"/>
    <col min="10" max="10" width="12" style="60" hidden="1" customWidth="1"/>
    <col min="11" max="11" width="10.08984375" style="60" hidden="1" customWidth="1"/>
    <col min="12" max="12" width="11.453125" style="60" hidden="1" customWidth="1"/>
    <col min="13" max="13" width="12.54296875" style="60" hidden="1" customWidth="1"/>
    <col min="14" max="14" width="10.7265625" style="60" hidden="1" customWidth="1"/>
    <col min="15" max="15" width="11.08984375" style="60" hidden="1" customWidth="1"/>
    <col min="16" max="16" width="10.26953125" style="60" hidden="1" customWidth="1"/>
    <col min="17" max="17" width="12" style="60" hidden="1" customWidth="1"/>
    <col min="18" max="18" width="10.08984375" style="60" hidden="1" customWidth="1"/>
    <col min="19" max="19" width="11.453125" style="60" hidden="1" customWidth="1"/>
    <col min="20" max="20" width="12.54296875" style="60" hidden="1" customWidth="1"/>
    <col min="21" max="21" width="11.453125" style="60" hidden="1" customWidth="1"/>
    <col min="22" max="22" width="12.08984375" style="60" hidden="1" customWidth="1"/>
    <col min="23" max="23" width="10.54296875" style="60" hidden="1" customWidth="1"/>
    <col min="24" max="24" width="11.7265625" style="60" hidden="1" customWidth="1"/>
    <col min="25" max="25" width="10.08984375" style="60" hidden="1" customWidth="1"/>
    <col min="26" max="26" width="12.453125" style="60" hidden="1" customWidth="1"/>
    <col min="27" max="28" width="12.54296875" style="60" customWidth="1"/>
    <col min="29" max="29" width="6.36328125" style="238" customWidth="1"/>
    <col min="30" max="30" width="53" style="60" customWidth="1"/>
    <col min="31" max="31" width="6.36328125" style="55" customWidth="1"/>
    <col min="32" max="32" width="12.453125" style="60" hidden="1" customWidth="1"/>
    <col min="33" max="33" width="12.7265625" style="60" hidden="1" customWidth="1"/>
    <col min="34" max="34" width="12.7265625" style="60" customWidth="1"/>
    <col min="35" max="35" width="11.54296875" style="60" hidden="1" customWidth="1"/>
    <col min="36" max="36" width="9.90625" style="60" hidden="1" customWidth="1"/>
    <col min="37" max="37" width="10.54296875" style="60" hidden="1" customWidth="1"/>
    <col min="38" max="38" width="9.36328125" style="60" hidden="1" customWidth="1"/>
    <col min="39" max="39" width="11.81640625" style="60" hidden="1" customWidth="1"/>
    <col min="40" max="40" width="9.90625" style="60" hidden="1" customWidth="1"/>
    <col min="41" max="41" width="11.7265625" style="60" hidden="1" customWidth="1"/>
    <col min="42" max="42" width="12.26953125" style="60" hidden="1" customWidth="1"/>
    <col min="43" max="43" width="9.90625" style="60" hidden="1" customWidth="1"/>
    <col min="44" max="44" width="10.54296875" style="60" hidden="1" customWidth="1"/>
    <col min="45" max="45" width="9.36328125" style="60" hidden="1" customWidth="1"/>
    <col min="46" max="46" width="11.81640625" style="60" hidden="1" customWidth="1"/>
    <col min="47" max="47" width="9.90625" style="60" hidden="1" customWidth="1"/>
    <col min="48" max="48" width="11.7265625" style="60" hidden="1" customWidth="1"/>
    <col min="49" max="49" width="12.26953125" style="60" hidden="1" customWidth="1"/>
    <col min="50" max="50" width="12" style="60" hidden="1" customWidth="1"/>
    <col min="51" max="51" width="12.1796875" style="60" hidden="1" customWidth="1"/>
    <col min="52" max="52" width="11.26953125" style="60" hidden="1" customWidth="1"/>
    <col min="53" max="53" width="10.453125" style="60" hidden="1" customWidth="1"/>
    <col min="54" max="54" width="9.90625" style="60" hidden="1" customWidth="1"/>
    <col min="55" max="55" width="11.7265625" style="60" hidden="1" customWidth="1"/>
    <col min="56" max="56" width="12.26953125" style="60" customWidth="1"/>
    <col min="57" max="57" width="12.54296875" style="60" customWidth="1"/>
    <col min="58" max="58" width="7.81640625" style="238" customWidth="1"/>
    <col min="59" max="16384" width="9.1796875" style="3"/>
  </cols>
  <sheetData>
    <row r="1" spans="1:58" ht="12" customHeight="1">
      <c r="A1" s="10" t="s">
        <v>30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682"/>
      <c r="AD1" s="54"/>
      <c r="AF1" s="54"/>
      <c r="AG1" s="54"/>
      <c r="AI1" s="56"/>
      <c r="AJ1" s="56"/>
      <c r="AK1" s="56"/>
      <c r="AL1" s="56"/>
      <c r="AM1" s="56"/>
      <c r="AN1" s="56"/>
      <c r="AO1" s="56"/>
      <c r="AP1" s="237"/>
      <c r="AQ1" s="56"/>
      <c r="AR1" s="56"/>
      <c r="AS1" s="56"/>
      <c r="AT1" s="56"/>
      <c r="AU1" s="56"/>
      <c r="AV1" s="56"/>
      <c r="AW1" s="237"/>
      <c r="AX1" s="56"/>
      <c r="AY1" s="56"/>
      <c r="AZ1" s="56"/>
      <c r="BA1" s="56"/>
      <c r="BB1" s="56"/>
      <c r="BC1" s="56"/>
      <c r="BE1" s="53"/>
      <c r="BF1" s="237" t="s">
        <v>678</v>
      </c>
    </row>
    <row r="2" spans="1:58" ht="27" customHeight="1">
      <c r="A2" s="14"/>
      <c r="B2" s="3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682"/>
      <c r="AD2" s="54"/>
      <c r="AF2" s="54"/>
      <c r="AG2" s="54"/>
      <c r="AP2" s="238"/>
      <c r="AW2" s="238"/>
      <c r="BD2" s="238"/>
      <c r="BE2" s="53"/>
      <c r="BF2" s="682"/>
    </row>
    <row r="3" spans="1:58" s="21" customFormat="1" ht="20" customHeight="1">
      <c r="A3" s="98"/>
      <c r="B3" s="250"/>
      <c r="C3" s="649"/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49"/>
      <c r="V3" s="649"/>
      <c r="W3" s="649"/>
      <c r="X3" s="649"/>
      <c r="Y3" s="649"/>
      <c r="Z3" s="649"/>
      <c r="AA3" s="649"/>
      <c r="AB3" s="649"/>
      <c r="AC3" s="817"/>
      <c r="AD3" s="650"/>
      <c r="AE3" s="651"/>
      <c r="AF3" s="650"/>
      <c r="AG3" s="650"/>
      <c r="AH3" s="652"/>
      <c r="AI3" s="653"/>
      <c r="AJ3" s="653"/>
      <c r="AK3" s="653"/>
      <c r="AL3" s="653"/>
      <c r="AM3" s="653"/>
      <c r="AN3" s="653"/>
      <c r="AO3" s="653"/>
      <c r="AP3" s="654"/>
      <c r="AQ3" s="653"/>
      <c r="AR3" s="653"/>
      <c r="AS3" s="653"/>
      <c r="AT3" s="653"/>
      <c r="AU3" s="653"/>
      <c r="AV3" s="653"/>
      <c r="AW3" s="654"/>
      <c r="AX3" s="653"/>
      <c r="AY3" s="653"/>
      <c r="AZ3" s="653"/>
      <c r="BA3" s="653"/>
      <c r="BB3" s="653"/>
      <c r="BC3" s="653"/>
      <c r="BD3" s="654"/>
      <c r="BE3" s="649"/>
      <c r="BF3" s="817"/>
    </row>
    <row r="4" spans="1:58" s="21" customFormat="1" ht="13.5" thickBot="1">
      <c r="A4" s="98"/>
      <c r="B4" s="250"/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49"/>
      <c r="P4" s="649"/>
      <c r="Q4" s="649"/>
      <c r="R4" s="649"/>
      <c r="S4" s="649"/>
      <c r="T4" s="649"/>
      <c r="U4" s="649"/>
      <c r="V4" s="649"/>
      <c r="W4" s="649"/>
      <c r="X4" s="649"/>
      <c r="Y4" s="649"/>
      <c r="Z4" s="649"/>
      <c r="AA4" s="649"/>
      <c r="AB4" s="649"/>
      <c r="AC4" s="817"/>
      <c r="AD4" s="649"/>
      <c r="AE4" s="655"/>
      <c r="AF4" s="649"/>
      <c r="AG4" s="649"/>
      <c r="AH4" s="652"/>
      <c r="AI4" s="656"/>
      <c r="AJ4" s="656"/>
      <c r="AK4" s="656"/>
      <c r="AL4" s="656"/>
      <c r="AM4" s="656"/>
      <c r="AN4" s="656"/>
      <c r="AO4" s="656"/>
      <c r="AP4" s="657"/>
      <c r="AQ4" s="656"/>
      <c r="AR4" s="656"/>
      <c r="AS4" s="656"/>
      <c r="AT4" s="656"/>
      <c r="AU4" s="656"/>
      <c r="AV4" s="656"/>
      <c r="AW4" s="657"/>
      <c r="AX4" s="656"/>
      <c r="AY4" s="656"/>
      <c r="AZ4" s="656"/>
      <c r="BA4" s="656"/>
      <c r="BB4" s="656"/>
      <c r="BC4" s="656"/>
      <c r="BE4" s="649"/>
      <c r="BF4" s="657" t="s">
        <v>378</v>
      </c>
    </row>
    <row r="5" spans="1:58" s="21" customFormat="1" ht="16.5" customHeight="1" thickBot="1">
      <c r="A5" s="986" t="s">
        <v>61</v>
      </c>
      <c r="B5" s="987"/>
      <c r="C5" s="987"/>
      <c r="D5" s="987"/>
      <c r="E5" s="987"/>
      <c r="F5" s="987"/>
      <c r="G5" s="987"/>
      <c r="H5" s="987"/>
      <c r="I5" s="987"/>
      <c r="J5" s="987"/>
      <c r="K5" s="987"/>
      <c r="L5" s="987"/>
      <c r="M5" s="987"/>
      <c r="N5" s="987"/>
      <c r="O5" s="987"/>
      <c r="P5" s="987"/>
      <c r="Q5" s="987"/>
      <c r="R5" s="987"/>
      <c r="S5" s="987"/>
      <c r="T5" s="987"/>
      <c r="U5" s="987"/>
      <c r="V5" s="987"/>
      <c r="W5" s="987"/>
      <c r="X5" s="987"/>
      <c r="Y5" s="987"/>
      <c r="Z5" s="987"/>
      <c r="AA5" s="987"/>
      <c r="AB5" s="987"/>
      <c r="AC5" s="988"/>
      <c r="AD5" s="983" t="s">
        <v>62</v>
      </c>
      <c r="AE5" s="983"/>
      <c r="AF5" s="983"/>
      <c r="AG5" s="983"/>
      <c r="AH5" s="983"/>
      <c r="AI5" s="983"/>
      <c r="AJ5" s="983"/>
      <c r="AK5" s="983"/>
      <c r="AL5" s="983"/>
      <c r="AM5" s="983"/>
      <c r="AN5" s="983"/>
      <c r="AO5" s="983"/>
      <c r="AP5" s="983"/>
      <c r="AQ5" s="983"/>
      <c r="AR5" s="983"/>
      <c r="AS5" s="983"/>
      <c r="AT5" s="983"/>
      <c r="AU5" s="983"/>
      <c r="AV5" s="983"/>
      <c r="AW5" s="983"/>
      <c r="AX5" s="983"/>
      <c r="AY5" s="983"/>
      <c r="AZ5" s="983"/>
      <c r="BA5" s="983"/>
      <c r="BB5" s="983"/>
      <c r="BC5" s="983"/>
      <c r="BD5" s="983"/>
      <c r="BE5" s="983"/>
      <c r="BF5" s="983"/>
    </row>
    <row r="6" spans="1:58" s="21" customFormat="1" ht="16.5" customHeight="1" thickBot="1">
      <c r="A6" s="989" t="s">
        <v>106</v>
      </c>
      <c r="B6" s="989" t="s">
        <v>310</v>
      </c>
      <c r="C6" s="658"/>
      <c r="D6" s="658"/>
      <c r="E6" s="984" t="s">
        <v>534</v>
      </c>
      <c r="F6" s="985" t="s">
        <v>606</v>
      </c>
      <c r="G6" s="985"/>
      <c r="H6" s="985"/>
      <c r="I6" s="985"/>
      <c r="J6" s="985"/>
      <c r="K6" s="985"/>
      <c r="L6" s="985"/>
      <c r="M6" s="981" t="s">
        <v>605</v>
      </c>
      <c r="N6" s="985" t="s">
        <v>606</v>
      </c>
      <c r="O6" s="985"/>
      <c r="P6" s="985"/>
      <c r="Q6" s="985"/>
      <c r="R6" s="985"/>
      <c r="S6" s="985"/>
      <c r="T6" s="981" t="s">
        <v>650</v>
      </c>
      <c r="U6" s="985" t="s">
        <v>606</v>
      </c>
      <c r="V6" s="985"/>
      <c r="W6" s="985"/>
      <c r="X6" s="985"/>
      <c r="Y6" s="985"/>
      <c r="Z6" s="985"/>
      <c r="AA6" s="981" t="s">
        <v>672</v>
      </c>
      <c r="AB6" s="981" t="s">
        <v>673</v>
      </c>
      <c r="AC6" s="982" t="s">
        <v>677</v>
      </c>
      <c r="AD6" s="984" t="s">
        <v>106</v>
      </c>
      <c r="AE6" s="984" t="s">
        <v>275</v>
      </c>
      <c r="AF6" s="706"/>
      <c r="AG6" s="706"/>
      <c r="AH6" s="984" t="s">
        <v>534</v>
      </c>
      <c r="AI6" s="985" t="s">
        <v>606</v>
      </c>
      <c r="AJ6" s="985"/>
      <c r="AK6" s="985"/>
      <c r="AL6" s="985"/>
      <c r="AM6" s="985"/>
      <c r="AN6" s="985"/>
      <c r="AO6" s="985"/>
      <c r="AP6" s="981" t="s">
        <v>605</v>
      </c>
      <c r="AQ6" s="980" t="s">
        <v>606</v>
      </c>
      <c r="AR6" s="980"/>
      <c r="AS6" s="980"/>
      <c r="AT6" s="980"/>
      <c r="AU6" s="980"/>
      <c r="AV6" s="980"/>
      <c r="AW6" s="981" t="s">
        <v>650</v>
      </c>
      <c r="AX6" s="980" t="s">
        <v>606</v>
      </c>
      <c r="AY6" s="980"/>
      <c r="AZ6" s="980"/>
      <c r="BA6" s="980"/>
      <c r="BB6" s="980"/>
      <c r="BC6" s="980"/>
      <c r="BD6" s="981" t="s">
        <v>672</v>
      </c>
      <c r="BE6" s="981" t="s">
        <v>673</v>
      </c>
      <c r="BF6" s="982" t="s">
        <v>677</v>
      </c>
    </row>
    <row r="7" spans="1:58" s="21" customFormat="1" ht="47" customHeight="1" thickBot="1">
      <c r="A7" s="989"/>
      <c r="B7" s="989"/>
      <c r="C7" s="659" t="s">
        <v>450</v>
      </c>
      <c r="D7" s="659" t="s">
        <v>451</v>
      </c>
      <c r="E7" s="984"/>
      <c r="F7" s="659" t="s">
        <v>536</v>
      </c>
      <c r="G7" s="659" t="s">
        <v>647</v>
      </c>
      <c r="H7" s="659" t="s">
        <v>601</v>
      </c>
      <c r="I7" s="659" t="s">
        <v>602</v>
      </c>
      <c r="J7" s="659" t="s">
        <v>604</v>
      </c>
      <c r="K7" s="659" t="s">
        <v>603</v>
      </c>
      <c r="L7" s="659" t="s">
        <v>537</v>
      </c>
      <c r="M7" s="981"/>
      <c r="N7" s="659" t="s">
        <v>647</v>
      </c>
      <c r="O7" s="659" t="s">
        <v>601</v>
      </c>
      <c r="P7" s="659" t="s">
        <v>602</v>
      </c>
      <c r="Q7" s="659" t="s">
        <v>604</v>
      </c>
      <c r="R7" s="659" t="s">
        <v>603</v>
      </c>
      <c r="S7" s="659" t="s">
        <v>537</v>
      </c>
      <c r="T7" s="981"/>
      <c r="U7" s="707" t="s">
        <v>647</v>
      </c>
      <c r="V7" s="707" t="s">
        <v>601</v>
      </c>
      <c r="W7" s="707" t="s">
        <v>602</v>
      </c>
      <c r="X7" s="707" t="s">
        <v>604</v>
      </c>
      <c r="Y7" s="707" t="s">
        <v>603</v>
      </c>
      <c r="Z7" s="707" t="s">
        <v>537</v>
      </c>
      <c r="AA7" s="981"/>
      <c r="AB7" s="981"/>
      <c r="AC7" s="982"/>
      <c r="AD7" s="984"/>
      <c r="AE7" s="984"/>
      <c r="AF7" s="707" t="s">
        <v>450</v>
      </c>
      <c r="AG7" s="707" t="s">
        <v>451</v>
      </c>
      <c r="AH7" s="984"/>
      <c r="AI7" s="707" t="s">
        <v>536</v>
      </c>
      <c r="AJ7" s="705" t="s">
        <v>647</v>
      </c>
      <c r="AK7" s="705" t="s">
        <v>601</v>
      </c>
      <c r="AL7" s="705" t="s">
        <v>602</v>
      </c>
      <c r="AM7" s="705" t="s">
        <v>604</v>
      </c>
      <c r="AN7" s="705" t="s">
        <v>603</v>
      </c>
      <c r="AO7" s="705" t="s">
        <v>537</v>
      </c>
      <c r="AP7" s="981"/>
      <c r="AQ7" s="705" t="s">
        <v>647</v>
      </c>
      <c r="AR7" s="705" t="s">
        <v>601</v>
      </c>
      <c r="AS7" s="705" t="s">
        <v>602</v>
      </c>
      <c r="AT7" s="705" t="s">
        <v>604</v>
      </c>
      <c r="AU7" s="705" t="s">
        <v>603</v>
      </c>
      <c r="AV7" s="705" t="s">
        <v>537</v>
      </c>
      <c r="AW7" s="981"/>
      <c r="AX7" s="705" t="s">
        <v>647</v>
      </c>
      <c r="AY7" s="705" t="s">
        <v>601</v>
      </c>
      <c r="AZ7" s="705" t="s">
        <v>602</v>
      </c>
      <c r="BA7" s="705" t="s">
        <v>604</v>
      </c>
      <c r="BB7" s="705" t="s">
        <v>603</v>
      </c>
      <c r="BC7" s="705" t="s">
        <v>537</v>
      </c>
      <c r="BD7" s="981"/>
      <c r="BE7" s="981"/>
      <c r="BF7" s="982"/>
    </row>
    <row r="8" spans="1:58" ht="23">
      <c r="A8" s="67" t="s">
        <v>257</v>
      </c>
      <c r="B8" s="68">
        <v>1</v>
      </c>
      <c r="C8" s="69">
        <f>a!C8+b!C8+'c'!C8</f>
        <v>133069349</v>
      </c>
      <c r="D8" s="69"/>
      <c r="E8" s="69">
        <f>a!E8+b!E8+'c'!E8</f>
        <v>133069349</v>
      </c>
      <c r="F8" s="69">
        <f>a!F8+b!F8+'c'!F8</f>
        <v>0</v>
      </c>
      <c r="G8" s="69">
        <f>a!G8+b!G8+'c'!G8</f>
        <v>0</v>
      </c>
      <c r="H8" s="69">
        <f>a!H8+b!H8+'c'!H8</f>
        <v>0</v>
      </c>
      <c r="I8" s="69">
        <f>a!I8+b!I8+'c'!I8</f>
        <v>0</v>
      </c>
      <c r="J8" s="69">
        <f>a!J8+b!J8+'c'!J8</f>
        <v>0</v>
      </c>
      <c r="K8" s="69">
        <f>a!K8+b!K8+'c'!K8</f>
        <v>210701066</v>
      </c>
      <c r="L8" s="69">
        <f>a!L8+b!L8+'c'!L8</f>
        <v>210701066</v>
      </c>
      <c r="M8" s="69">
        <f>a!M8+b!M8+'c'!M8</f>
        <v>343770415</v>
      </c>
      <c r="N8" s="69">
        <f>a!N8+b!N8+'c'!N8</f>
        <v>0</v>
      </c>
      <c r="O8" s="69">
        <f>a!O8+b!O8+'c'!O8</f>
        <v>204832</v>
      </c>
      <c r="P8" s="69">
        <f>a!P8+b!P8+'c'!P8</f>
        <v>0</v>
      </c>
      <c r="Q8" s="69">
        <f>a!Q8+b!Q8+'c'!Q8</f>
        <v>0</v>
      </c>
      <c r="R8" s="69">
        <f>a!R8+b!R8+'c'!R8</f>
        <v>202711135</v>
      </c>
      <c r="S8" s="69">
        <f>a!S8+b!S8+'c'!S8</f>
        <v>202915967</v>
      </c>
      <c r="T8" s="69">
        <f>a!T8+b!T8+'c'!T8</f>
        <v>546686382</v>
      </c>
      <c r="U8" s="69">
        <f>a!U8+b!U8+'c'!U8</f>
        <v>0</v>
      </c>
      <c r="V8" s="69">
        <f>a!V8+b!V8+'c'!V8</f>
        <v>-18099355</v>
      </c>
      <c r="W8" s="69">
        <f>a!W8+b!W8+'c'!W8</f>
        <v>0</v>
      </c>
      <c r="X8" s="69">
        <f>a!X8+b!X8+'c'!X8</f>
        <v>0</v>
      </c>
      <c r="Y8" s="69">
        <f>a!Y8+b!Y8+'c'!Y8</f>
        <v>52213247</v>
      </c>
      <c r="Z8" s="69">
        <f>a!Z8+b!Z8+'c'!Z8</f>
        <v>34113892</v>
      </c>
      <c r="AA8" s="69">
        <f>a!AA8+b!AA8+'c'!AA8</f>
        <v>580800274</v>
      </c>
      <c r="AB8" s="69">
        <f>a!AB8+b!AB8+'c'!AB8</f>
        <v>580793960</v>
      </c>
      <c r="AC8" s="818">
        <f>AB8/AA8*100</f>
        <v>99.998912879300732</v>
      </c>
      <c r="AD8" s="177" t="s">
        <v>107</v>
      </c>
      <c r="AE8" s="70" t="s">
        <v>314</v>
      </c>
      <c r="AF8" s="71">
        <f>a!AF8+b!AF8+'c'!AF8</f>
        <v>7559645192</v>
      </c>
      <c r="AG8" s="71">
        <f>a!AG8+b!AG8+'c'!AG8</f>
        <v>0</v>
      </c>
      <c r="AH8" s="71">
        <f>a!AH8+b!AH8+'c'!AH8</f>
        <v>7559645192</v>
      </c>
      <c r="AI8" s="71">
        <f>a!AI8+b!AI8+'c'!AI8</f>
        <v>463029837</v>
      </c>
      <c r="AJ8" s="71">
        <f>a!AJ8+b!AJ8+'c'!AJ8</f>
        <v>0</v>
      </c>
      <c r="AK8" s="71">
        <f>a!AK8+b!AK8+'c'!AK8</f>
        <v>-1000000</v>
      </c>
      <c r="AL8" s="71">
        <f>a!AL8+b!AL8+'c'!AL8</f>
        <v>0</v>
      </c>
      <c r="AM8" s="71">
        <f>a!AM8+b!AM8+'c'!AM8</f>
        <v>117365459</v>
      </c>
      <c r="AN8" s="71">
        <f>a!AN8+b!AN8+'c'!AN8</f>
        <v>215301066</v>
      </c>
      <c r="AO8" s="71">
        <f>a!AO8+b!AO8+'c'!AO8</f>
        <v>794696362</v>
      </c>
      <c r="AP8" s="71">
        <f>a!AP8+b!AP8+'c'!AP8</f>
        <v>8354341554</v>
      </c>
      <c r="AQ8" s="71">
        <f>a!AQ8+b!AQ8+'c'!AQ8</f>
        <v>9825882</v>
      </c>
      <c r="AR8" s="71">
        <f>a!AR8+b!AR8+'c'!AR8</f>
        <v>13201875</v>
      </c>
      <c r="AS8" s="71">
        <f>a!AS8+b!AS8+'c'!AS8</f>
        <v>4048000</v>
      </c>
      <c r="AT8" s="71">
        <f>a!AT8+b!AT8+'c'!AT8</f>
        <v>68036240</v>
      </c>
      <c r="AU8" s="71">
        <f>a!AU8+b!AU8+'c'!AU8</f>
        <v>208596485</v>
      </c>
      <c r="AV8" s="71">
        <f>a!AV8+b!AV8+'c'!AV8</f>
        <v>303708482</v>
      </c>
      <c r="AW8" s="71">
        <f>a!AW8+b!AW8+'c'!AW8</f>
        <v>8658050036</v>
      </c>
      <c r="AX8" s="71">
        <f>a!AX8+b!AX8+'c'!AX8</f>
        <v>2555500</v>
      </c>
      <c r="AY8" s="71">
        <f>a!AY8+b!AY8+'c'!AY8</f>
        <v>163497715</v>
      </c>
      <c r="AZ8" s="71">
        <f>a!AZ8+b!AZ8+'c'!AZ8</f>
        <v>3511000</v>
      </c>
      <c r="BA8" s="71">
        <f>a!BA8+b!BA8+'c'!BA8</f>
        <v>60242828</v>
      </c>
      <c r="BB8" s="71">
        <f>a!BB8+b!BB8+'c'!BB8</f>
        <v>77130462</v>
      </c>
      <c r="BC8" s="71">
        <f>a!BC8+b!BC8+'c'!BC8</f>
        <v>306937505</v>
      </c>
      <c r="BD8" s="71">
        <f>a!BD8+b!BD8+'c'!BD8</f>
        <v>8964987541</v>
      </c>
      <c r="BE8" s="71">
        <f>a!BE8+b!BE8+'c'!BE8</f>
        <v>8093082598</v>
      </c>
      <c r="BF8" s="823">
        <f>BE8/BD8*100</f>
        <v>90.274331793407683</v>
      </c>
    </row>
    <row r="9" spans="1:58" ht="23">
      <c r="A9" s="72" t="s">
        <v>267</v>
      </c>
      <c r="B9" s="73">
        <v>1</v>
      </c>
      <c r="C9" s="74">
        <f>a!C9+b!C9+'c'!C9</f>
        <v>40883000</v>
      </c>
      <c r="D9" s="74">
        <f>a!D9+b!D9+'c'!D9</f>
        <v>0</v>
      </c>
      <c r="E9" s="74">
        <f>a!E9+b!E9+'c'!E9</f>
        <v>40883000</v>
      </c>
      <c r="F9" s="74">
        <f>a!F9+b!F9+'c'!F9</f>
        <v>0</v>
      </c>
      <c r="G9" s="74">
        <f>a!G9+b!G9+'c'!G9</f>
        <v>0</v>
      </c>
      <c r="H9" s="74">
        <f>a!H9+b!H9+'c'!H9</f>
        <v>0</v>
      </c>
      <c r="I9" s="74">
        <f>a!I9+b!I9+'c'!I9</f>
        <v>0</v>
      </c>
      <c r="J9" s="74">
        <f>a!J9+b!J9+'c'!J9</f>
        <v>0</v>
      </c>
      <c r="K9" s="74">
        <f>a!K9+b!K9+'c'!K9</f>
        <v>0</v>
      </c>
      <c r="L9" s="74">
        <f>a!L9+b!L9+'c'!L9</f>
        <v>0</v>
      </c>
      <c r="M9" s="74">
        <f>a!M9+b!M9+'c'!M9</f>
        <v>40883000</v>
      </c>
      <c r="N9" s="74">
        <f>a!N9+b!N9+'c'!N9</f>
        <v>0</v>
      </c>
      <c r="O9" s="74">
        <f>a!O9+b!O9+'c'!O9</f>
        <v>0</v>
      </c>
      <c r="P9" s="74">
        <f>a!P9+b!P9+'c'!P9</f>
        <v>0</v>
      </c>
      <c r="Q9" s="74">
        <f>a!Q9+b!Q9+'c'!Q9</f>
        <v>0</v>
      </c>
      <c r="R9" s="74">
        <f>a!R9+b!R9+'c'!R9</f>
        <v>0</v>
      </c>
      <c r="S9" s="74">
        <f>a!S9+b!S9+'c'!S9</f>
        <v>0</v>
      </c>
      <c r="T9" s="74">
        <f>a!T9+b!T9+'c'!T9</f>
        <v>40883000</v>
      </c>
      <c r="U9" s="74">
        <f>a!U9+b!U9+'c'!U9</f>
        <v>0</v>
      </c>
      <c r="V9" s="74">
        <f>a!V9+b!V9+'c'!V9</f>
        <v>0</v>
      </c>
      <c r="W9" s="74">
        <f>a!W9+b!W9+'c'!W9</f>
        <v>0</v>
      </c>
      <c r="X9" s="74">
        <f>a!X9+b!X9+'c'!X9</f>
        <v>0</v>
      </c>
      <c r="Y9" s="74">
        <f>a!Y9+b!Y9+'c'!Y9</f>
        <v>7129300</v>
      </c>
      <c r="Z9" s="74">
        <f>a!Z9+b!Z9+'c'!Z9</f>
        <v>7129300</v>
      </c>
      <c r="AA9" s="74">
        <f>a!AA9+b!AA9+'c'!AA9</f>
        <v>48012300</v>
      </c>
      <c r="AB9" s="74">
        <f>a!AB9+b!AB9+'c'!AB9</f>
        <v>48012300</v>
      </c>
      <c r="AC9" s="819">
        <f>AB9/AA9*100</f>
        <v>100</v>
      </c>
      <c r="AD9" s="178" t="s">
        <v>238</v>
      </c>
      <c r="AE9" s="75">
        <v>6</v>
      </c>
      <c r="AF9" s="76">
        <f>a!AF9+b!AF9+'c'!AF9</f>
        <v>0</v>
      </c>
      <c r="AG9" s="76">
        <f>a!AG9+b!AG9+'c'!AG9</f>
        <v>360743834</v>
      </c>
      <c r="AH9" s="76">
        <f>a!AH9+b!AH9+'c'!AH9</f>
        <v>360743834</v>
      </c>
      <c r="AI9" s="76">
        <f>a!AI9+b!AI9+'c'!AI9</f>
        <v>195079755</v>
      </c>
      <c r="AJ9" s="76">
        <f>a!AJ9+b!AJ9+'c'!AJ9</f>
        <v>1235489</v>
      </c>
      <c r="AK9" s="76">
        <f>a!AK9+b!AK9+'c'!AK9</f>
        <v>4000000</v>
      </c>
      <c r="AL9" s="76">
        <f>a!AL9+b!AL9+'c'!AL9</f>
        <v>0</v>
      </c>
      <c r="AM9" s="76">
        <f>a!AM9+b!AM9+'c'!AM9</f>
        <v>-414400</v>
      </c>
      <c r="AN9" s="76">
        <f>a!AN9+b!AN9+'c'!AN9</f>
        <v>21350149</v>
      </c>
      <c r="AO9" s="76">
        <f>a!AO9+b!AO9+'c'!AO9</f>
        <v>221250993</v>
      </c>
      <c r="AP9" s="76">
        <f>a!AP9+b!AP9+'c'!AP9</f>
        <v>581994827</v>
      </c>
      <c r="AQ9" s="76">
        <f>a!AQ9+b!AQ9+'c'!AQ9</f>
        <v>8417800</v>
      </c>
      <c r="AR9" s="76">
        <f>a!AR9+b!AR9+'c'!AR9</f>
        <v>18000000</v>
      </c>
      <c r="AS9" s="76">
        <f>a!AS9+b!AS9+'c'!AS9</f>
        <v>0</v>
      </c>
      <c r="AT9" s="76">
        <f>a!AT9+b!AT9+'c'!AT9</f>
        <v>-2850900</v>
      </c>
      <c r="AU9" s="76">
        <f>a!AU9+b!AU9+'c'!AU9</f>
        <v>6285927</v>
      </c>
      <c r="AV9" s="76">
        <f>a!AV9+b!AV9+'c'!AV9</f>
        <v>29852827</v>
      </c>
      <c r="AW9" s="76">
        <f>a!AW9+b!AW9+'c'!AW9</f>
        <v>611847654</v>
      </c>
      <c r="AX9" s="76">
        <f>a!AX9+b!AX9+'c'!AX9</f>
        <v>444500</v>
      </c>
      <c r="AY9" s="76">
        <f>a!AY9+b!AY9+'c'!AY9</f>
        <v>4202290</v>
      </c>
      <c r="AZ9" s="76">
        <f>a!AZ9+b!AZ9+'c'!AZ9</f>
        <v>0</v>
      </c>
      <c r="BA9" s="76">
        <f>a!BA9+b!BA9+'c'!BA9</f>
        <v>-3026254</v>
      </c>
      <c r="BB9" s="76">
        <f>a!BB9+b!BB9+'c'!BB9</f>
        <v>7091480</v>
      </c>
      <c r="BC9" s="76">
        <f>a!BC9+b!BC9+'c'!BC9</f>
        <v>8712016</v>
      </c>
      <c r="BD9" s="76">
        <f>a!BD9+b!BD9+'c'!BD9</f>
        <v>620559670</v>
      </c>
      <c r="BE9" s="76">
        <f>a!BE9+b!BE9+'c'!BE9</f>
        <v>422671170</v>
      </c>
      <c r="BF9" s="824">
        <f>BE9/BD9*100</f>
        <v>68.111285736631899</v>
      </c>
    </row>
    <row r="10" spans="1:58" ht="23">
      <c r="A10" s="72" t="s">
        <v>522</v>
      </c>
      <c r="B10" s="73">
        <v>2</v>
      </c>
      <c r="C10" s="74">
        <f>a!C10+b!C10+'c'!C10</f>
        <v>0</v>
      </c>
      <c r="D10" s="74">
        <f>a!D10+b!D10+'c'!D10</f>
        <v>5417000</v>
      </c>
      <c r="E10" s="74">
        <f>a!E10+b!E10+'c'!E10</f>
        <v>5417000</v>
      </c>
      <c r="F10" s="74">
        <f>a!F10+b!F10+'c'!F10</f>
        <v>0</v>
      </c>
      <c r="G10" s="74">
        <f>a!G10+b!G10+'c'!G10</f>
        <v>0</v>
      </c>
      <c r="H10" s="74">
        <f>a!H10+b!H10+'c'!H10</f>
        <v>0</v>
      </c>
      <c r="I10" s="74">
        <f>a!I10+b!I10+'c'!I10</f>
        <v>0</v>
      </c>
      <c r="J10" s="74">
        <f>a!J10+b!J10+'c'!J10</f>
        <v>0</v>
      </c>
      <c r="K10" s="74">
        <f>a!K10+b!K10+'c'!K10</f>
        <v>0</v>
      </c>
      <c r="L10" s="74">
        <f>a!L10+b!L10+'c'!L10</f>
        <v>0</v>
      </c>
      <c r="M10" s="74">
        <f>a!M10+b!M10+'c'!M10</f>
        <v>5417000</v>
      </c>
      <c r="N10" s="74">
        <f>a!N10+b!N10+'c'!N10</f>
        <v>0</v>
      </c>
      <c r="O10" s="74">
        <f>a!O10+b!O10+'c'!O10</f>
        <v>0</v>
      </c>
      <c r="P10" s="74">
        <f>a!P10+b!P10+'c'!P10</f>
        <v>0</v>
      </c>
      <c r="Q10" s="74">
        <f>a!Q10+b!Q10+'c'!Q10</f>
        <v>0</v>
      </c>
      <c r="R10" s="74">
        <f>a!R10+b!R10+'c'!R10</f>
        <v>0</v>
      </c>
      <c r="S10" s="74">
        <f>a!S10+b!S10+'c'!S10</f>
        <v>0</v>
      </c>
      <c r="T10" s="74">
        <f>a!T10+b!T10+'c'!T10</f>
        <v>5417000</v>
      </c>
      <c r="U10" s="74">
        <f>a!U10+b!U10+'c'!U10</f>
        <v>0</v>
      </c>
      <c r="V10" s="74">
        <f>a!V10+b!V10+'c'!V10</f>
        <v>0</v>
      </c>
      <c r="W10" s="74">
        <f>a!W10+b!W10+'c'!W10</f>
        <v>0</v>
      </c>
      <c r="X10" s="74">
        <f>a!X10+b!X10+'c'!X10</f>
        <v>0</v>
      </c>
      <c r="Y10" s="74">
        <f>a!Y10+b!Y10+'c'!Y10</f>
        <v>0</v>
      </c>
      <c r="Z10" s="74">
        <f>a!Z10+b!Z10+'c'!Z10</f>
        <v>0</v>
      </c>
      <c r="AA10" s="74">
        <f>a!AA10+b!AA10+'c'!AA10</f>
        <v>5417000</v>
      </c>
      <c r="AB10" s="74">
        <f>a!AB10+b!AB10+'c'!AB10</f>
        <v>5417000</v>
      </c>
      <c r="AC10" s="819">
        <f t="shared" ref="AC10:AC49" si="0">AB10/AA10*100</f>
        <v>100</v>
      </c>
      <c r="AD10" s="178" t="s">
        <v>237</v>
      </c>
      <c r="AE10" s="75">
        <v>7</v>
      </c>
      <c r="AF10" s="76">
        <f>a!AF10+b!AF10+'c'!AF10</f>
        <v>0</v>
      </c>
      <c r="AG10" s="76">
        <f>a!AG10+b!AG10+'c'!AG10</f>
        <v>219559606</v>
      </c>
      <c r="AH10" s="76">
        <f>a!AH10+b!AH10+'c'!AH10</f>
        <v>219559606</v>
      </c>
      <c r="AI10" s="76">
        <f>a!AI10+b!AI10+'c'!AI10</f>
        <v>187505474</v>
      </c>
      <c r="AJ10" s="76">
        <f>a!AJ10+b!AJ10+'c'!AJ10</f>
        <v>0</v>
      </c>
      <c r="AK10" s="76">
        <f>a!AK10+b!AK10+'c'!AK10</f>
        <v>0</v>
      </c>
      <c r="AL10" s="76">
        <f>a!AL10+b!AL10+'c'!AL10</f>
        <v>0</v>
      </c>
      <c r="AM10" s="76">
        <f>a!AM10+b!AM10+'c'!AM10</f>
        <v>13000000</v>
      </c>
      <c r="AN10" s="76">
        <f>a!AN10+b!AN10+'c'!AN10</f>
        <v>4000000</v>
      </c>
      <c r="AO10" s="76">
        <f>a!AO10+b!AO10+'c'!AO10</f>
        <v>204505474</v>
      </c>
      <c r="AP10" s="76">
        <f>a!AP10+b!AP10+'c'!AP10</f>
        <v>424065080</v>
      </c>
      <c r="AQ10" s="76">
        <f>a!AQ10+b!AQ10+'c'!AQ10</f>
        <v>0</v>
      </c>
      <c r="AR10" s="76">
        <f>a!AR10+b!AR10+'c'!AR10</f>
        <v>4014788</v>
      </c>
      <c r="AS10" s="76">
        <f>a!AS10+b!AS10+'c'!AS10</f>
        <v>0</v>
      </c>
      <c r="AT10" s="76">
        <f>a!AT10+b!AT10+'c'!AT10</f>
        <v>0</v>
      </c>
      <c r="AU10" s="76">
        <f>a!AU10+b!AU10+'c'!AU10</f>
        <v>1500000</v>
      </c>
      <c r="AV10" s="76">
        <f>a!AV10+b!AV10+'c'!AV10</f>
        <v>5514788</v>
      </c>
      <c r="AW10" s="76">
        <f>a!AW10+b!AW10+'c'!AW10</f>
        <v>429579868</v>
      </c>
      <c r="AX10" s="76">
        <f>a!AX10+b!AX10+'c'!AX10</f>
        <v>0</v>
      </c>
      <c r="AY10" s="76">
        <f>a!AY10+b!AY10+'c'!AY10</f>
        <v>26397290</v>
      </c>
      <c r="AZ10" s="76">
        <f>a!AZ10+b!AZ10+'c'!AZ10</f>
        <v>0</v>
      </c>
      <c r="BA10" s="76">
        <f>a!BA10+b!BA10+'c'!BA10</f>
        <v>3863012</v>
      </c>
      <c r="BB10" s="76">
        <f>a!BB10+b!BB10+'c'!BB10</f>
        <v>0</v>
      </c>
      <c r="BC10" s="76">
        <f>a!BC10+b!BC10+'c'!BC10</f>
        <v>30260302</v>
      </c>
      <c r="BD10" s="76">
        <f>a!BD10+b!BD10+'c'!BD10</f>
        <v>459840170</v>
      </c>
      <c r="BE10" s="76">
        <f>a!BE10+b!BE10+'c'!BE10</f>
        <v>355713465</v>
      </c>
      <c r="BF10" s="824">
        <f>BE10/BD10*100</f>
        <v>77.35589193958414</v>
      </c>
    </row>
    <row r="11" spans="1:58" ht="23">
      <c r="A11" s="72" t="s">
        <v>321</v>
      </c>
      <c r="B11" s="73">
        <v>2</v>
      </c>
      <c r="C11" s="74">
        <f>a!C11+b!C11+'c'!C11</f>
        <v>0</v>
      </c>
      <c r="D11" s="74">
        <f>a!D11+b!D11+'c'!D11</f>
        <v>127646161</v>
      </c>
      <c r="E11" s="74">
        <f>a!E11+b!E11+'c'!E11</f>
        <v>127646161</v>
      </c>
      <c r="F11" s="74">
        <f>a!F11+b!F11+'c'!F11</f>
        <v>0</v>
      </c>
      <c r="G11" s="74">
        <f>a!G11+b!G11+'c'!G11</f>
        <v>0</v>
      </c>
      <c r="H11" s="74">
        <f>a!H11+b!H11+'c'!H11</f>
        <v>0</v>
      </c>
      <c r="I11" s="74">
        <f>a!I11+b!I11+'c'!I11</f>
        <v>0</v>
      </c>
      <c r="J11" s="74">
        <f>a!J11+b!J11+'c'!J11</f>
        <v>0</v>
      </c>
      <c r="K11" s="74">
        <f>a!K11+b!K11+'c'!K11</f>
        <v>24780190</v>
      </c>
      <c r="L11" s="74">
        <f>a!L11+b!L11+'c'!L11</f>
        <v>24780190</v>
      </c>
      <c r="M11" s="74">
        <f>a!M11+b!M11+'c'!M11</f>
        <v>152426351</v>
      </c>
      <c r="N11" s="74">
        <f>a!N11+b!N11+'c'!N11</f>
        <v>0</v>
      </c>
      <c r="O11" s="74">
        <f>a!O11+b!O11+'c'!O11</f>
        <v>0</v>
      </c>
      <c r="P11" s="74">
        <f>a!P11+b!P11+'c'!P11</f>
        <v>0</v>
      </c>
      <c r="Q11" s="74">
        <f>a!Q11+b!Q11+'c'!Q11</f>
        <v>0</v>
      </c>
      <c r="R11" s="74">
        <f>a!R11+b!R11+'c'!R11</f>
        <v>6224531</v>
      </c>
      <c r="S11" s="74">
        <f>a!S11+b!S11+'c'!S11</f>
        <v>6224531</v>
      </c>
      <c r="T11" s="74">
        <f>a!T11+b!T11+'c'!T11</f>
        <v>158650882</v>
      </c>
      <c r="U11" s="74">
        <f>a!U11+b!U11+'c'!U11</f>
        <v>0</v>
      </c>
      <c r="V11" s="74">
        <f>a!V11+b!V11+'c'!V11</f>
        <v>18099355</v>
      </c>
      <c r="W11" s="74">
        <f>a!W11+b!W11+'c'!W11</f>
        <v>0</v>
      </c>
      <c r="X11" s="74">
        <f>a!X11+b!X11+'c'!X11</f>
        <v>0</v>
      </c>
      <c r="Y11" s="74">
        <f>a!Y11+b!Y11+'c'!Y11</f>
        <v>6793480</v>
      </c>
      <c r="Z11" s="74">
        <f>a!Z11+b!Z11+'c'!Z11</f>
        <v>24892835</v>
      </c>
      <c r="AA11" s="74">
        <f>a!AA11+b!AA11+'c'!AA11</f>
        <v>183543717</v>
      </c>
      <c r="AB11" s="74">
        <f>a!AB11+b!AB11+'c'!AB11</f>
        <v>183543717</v>
      </c>
      <c r="AC11" s="819">
        <f t="shared" si="0"/>
        <v>100</v>
      </c>
      <c r="AD11" s="178" t="s">
        <v>523</v>
      </c>
      <c r="AE11" s="35">
        <v>8</v>
      </c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824"/>
    </row>
    <row r="12" spans="1:58">
      <c r="A12" s="72" t="s">
        <v>530</v>
      </c>
      <c r="B12" s="73">
        <v>3</v>
      </c>
      <c r="C12" s="74">
        <f>a!C12+b!C12+'c'!C12</f>
        <v>415000</v>
      </c>
      <c r="D12" s="74">
        <f>a!D12+b!D12+'c'!D12</f>
        <v>0</v>
      </c>
      <c r="E12" s="74">
        <f>a!E12+b!E12+'c'!E12</f>
        <v>415000</v>
      </c>
      <c r="F12" s="74">
        <f>a!F12+b!F12+'c'!F12</f>
        <v>0</v>
      </c>
      <c r="G12" s="74">
        <f>a!G12+b!G12+'c'!G12</f>
        <v>0</v>
      </c>
      <c r="H12" s="74">
        <f>a!H12+b!H12+'c'!H12</f>
        <v>0</v>
      </c>
      <c r="I12" s="74">
        <f>a!I12+b!I12+'c'!I12</f>
        <v>0</v>
      </c>
      <c r="J12" s="74">
        <f>a!J12+b!J12+'c'!J12</f>
        <v>0</v>
      </c>
      <c r="K12" s="74">
        <f>a!K12+b!K12+'c'!K12</f>
        <v>0</v>
      </c>
      <c r="L12" s="74">
        <f>a!L12+b!L12+'c'!L12</f>
        <v>0</v>
      </c>
      <c r="M12" s="74">
        <f>a!M12+b!M12+'c'!M12</f>
        <v>415000</v>
      </c>
      <c r="N12" s="74">
        <f>a!N12+b!N12+'c'!N12</f>
        <v>0</v>
      </c>
      <c r="O12" s="74">
        <f>a!O12+b!O12+'c'!O12</f>
        <v>0</v>
      </c>
      <c r="P12" s="74">
        <f>a!P12+b!P12+'c'!P12</f>
        <v>0</v>
      </c>
      <c r="Q12" s="74">
        <f>a!Q12+b!Q12+'c'!Q12</f>
        <v>0</v>
      </c>
      <c r="R12" s="74">
        <f>a!R12+b!R12+'c'!R12</f>
        <v>0</v>
      </c>
      <c r="S12" s="74">
        <f>a!S12+b!S12+'c'!S12</f>
        <v>0</v>
      </c>
      <c r="T12" s="74">
        <f>a!T12+b!T12+'c'!T12</f>
        <v>415000</v>
      </c>
      <c r="U12" s="74">
        <f>a!U12+b!U12+'c'!U12</f>
        <v>0</v>
      </c>
      <c r="V12" s="74">
        <f>a!V12+b!V12+'c'!V12</f>
        <v>0</v>
      </c>
      <c r="W12" s="74">
        <f>a!W12+b!W12+'c'!W12</f>
        <v>0</v>
      </c>
      <c r="X12" s="74">
        <f>a!X12+b!X12+'c'!X12</f>
        <v>0</v>
      </c>
      <c r="Y12" s="74">
        <f>a!Y12+b!Y12+'c'!Y12</f>
        <v>0</v>
      </c>
      <c r="Z12" s="74">
        <f>a!Z12+b!Z12+'c'!Z12</f>
        <v>0</v>
      </c>
      <c r="AA12" s="74">
        <f>a!AA12+b!AA12+'c'!AA12</f>
        <v>415000</v>
      </c>
      <c r="AB12" s="74">
        <f>a!AB12+b!AB12+'c'!AB12</f>
        <v>460655</v>
      </c>
      <c r="AC12" s="819">
        <f t="shared" si="0"/>
        <v>111.00120481927711</v>
      </c>
      <c r="AD12" s="179"/>
      <c r="AE12" s="58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824"/>
    </row>
    <row r="13" spans="1:58">
      <c r="A13" s="72" t="s">
        <v>531</v>
      </c>
      <c r="B13" s="73">
        <v>4</v>
      </c>
      <c r="C13" s="74">
        <f>a!C13+b!C13+'c'!C13</f>
        <v>1576911805</v>
      </c>
      <c r="D13" s="74">
        <f>a!D13+b!D13+'c'!D13</f>
        <v>0</v>
      </c>
      <c r="E13" s="74">
        <f>a!E13+b!E13+'c'!E13</f>
        <v>1576911805</v>
      </c>
      <c r="F13" s="74">
        <f>a!F13+b!F13+'c'!F13</f>
        <v>0</v>
      </c>
      <c r="G13" s="74">
        <f>a!G13+b!G13+'c'!G13</f>
        <v>0</v>
      </c>
      <c r="H13" s="74">
        <f>a!H13+b!H13+'c'!H13</f>
        <v>0</v>
      </c>
      <c r="I13" s="74">
        <f>a!I13+b!I13+'c'!I13</f>
        <v>0</v>
      </c>
      <c r="J13" s="74">
        <f>a!J13+b!J13+'c'!J13</f>
        <v>0</v>
      </c>
      <c r="K13" s="74">
        <f>a!K13+b!K13+'c'!K13</f>
        <v>0</v>
      </c>
      <c r="L13" s="74">
        <f>a!L13+b!L13+'c'!L13</f>
        <v>0</v>
      </c>
      <c r="M13" s="74">
        <f>a!M13+b!M13+'c'!M13</f>
        <v>1576911805</v>
      </c>
      <c r="N13" s="74">
        <f>a!N13+b!N13+'c'!N13</f>
        <v>0</v>
      </c>
      <c r="O13" s="74">
        <f>a!O13+b!O13+'c'!O13</f>
        <v>5560000</v>
      </c>
      <c r="P13" s="74">
        <f>a!P13+b!P13+'c'!P13</f>
        <v>0</v>
      </c>
      <c r="Q13" s="74">
        <f>a!Q13+b!Q13+'c'!Q13</f>
        <v>0</v>
      </c>
      <c r="R13" s="74">
        <f>a!R13+b!R13+'c'!R13</f>
        <v>0</v>
      </c>
      <c r="S13" s="74">
        <f>a!S13+b!S13+'c'!S13</f>
        <v>5560000</v>
      </c>
      <c r="T13" s="74">
        <f>a!T13+b!T13+'c'!T13</f>
        <v>1582471805</v>
      </c>
      <c r="U13" s="74">
        <f>a!U13+b!U13+'c'!U13</f>
        <v>0</v>
      </c>
      <c r="V13" s="74">
        <f>a!V13+b!V13+'c'!V13</f>
        <v>164498753</v>
      </c>
      <c r="W13" s="74">
        <f>a!W13+b!W13+'c'!W13</f>
        <v>0</v>
      </c>
      <c r="X13" s="74">
        <f>a!X13+b!X13+'c'!X13</f>
        <v>0</v>
      </c>
      <c r="Y13" s="74">
        <f>a!Y13+b!Y13+'c'!Y13</f>
        <v>0</v>
      </c>
      <c r="Z13" s="74">
        <f>a!Z13+b!Z13+'c'!Z13</f>
        <v>164498753</v>
      </c>
      <c r="AA13" s="74">
        <f>a!AA13+b!AA13+'c'!AA13</f>
        <v>1746970558</v>
      </c>
      <c r="AB13" s="74">
        <f>a!AB13+b!AB13+'c'!AB13</f>
        <v>1737323099</v>
      </c>
      <c r="AC13" s="819">
        <f t="shared" si="0"/>
        <v>99.447760641653588</v>
      </c>
      <c r="AD13" s="178"/>
      <c r="AE13" s="75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824"/>
    </row>
    <row r="14" spans="1:58">
      <c r="A14" s="72" t="s">
        <v>377</v>
      </c>
      <c r="B14" s="73">
        <v>5</v>
      </c>
      <c r="C14" s="74">
        <f>a!C14+b!C14+'c'!C14</f>
        <v>0</v>
      </c>
      <c r="D14" s="74">
        <f>a!D14+b!D14+'c'!D14</f>
        <v>0</v>
      </c>
      <c r="E14" s="74">
        <f>a!E14+b!E14+'c'!E14</f>
        <v>0</v>
      </c>
      <c r="F14" s="74">
        <f>a!F14+b!F14+'c'!F14</f>
        <v>0</v>
      </c>
      <c r="G14" s="74">
        <f>a!G14+b!G14+'c'!G14</f>
        <v>0</v>
      </c>
      <c r="H14" s="74">
        <f>a!H14+b!H14+'c'!H14</f>
        <v>0</v>
      </c>
      <c r="I14" s="74">
        <f>a!I14+b!I14+'c'!I14</f>
        <v>0</v>
      </c>
      <c r="J14" s="74">
        <f>a!J14+b!J14+'c'!J14</f>
        <v>0</v>
      </c>
      <c r="K14" s="74">
        <f>a!K14+b!K14+'c'!K14</f>
        <v>0</v>
      </c>
      <c r="L14" s="74">
        <f>a!L14+b!L14+'c'!L14</f>
        <v>0</v>
      </c>
      <c r="M14" s="74">
        <f>a!M14+b!M14+'c'!M14</f>
        <v>0</v>
      </c>
      <c r="N14" s="74">
        <f>a!N14+b!N14+'c'!N14</f>
        <v>0</v>
      </c>
      <c r="O14" s="74">
        <f>a!O14+b!O14+'c'!O14</f>
        <v>0</v>
      </c>
      <c r="P14" s="74">
        <f>a!P14+b!P14+'c'!P14</f>
        <v>0</v>
      </c>
      <c r="Q14" s="74">
        <f>a!Q14+b!Q14+'c'!Q14</f>
        <v>0</v>
      </c>
      <c r="R14" s="74">
        <f>a!R14+b!R14+'c'!R14</f>
        <v>0</v>
      </c>
      <c r="S14" s="74">
        <f>a!S14+b!S14+'c'!S14</f>
        <v>0</v>
      </c>
      <c r="T14" s="74">
        <f>a!T14+b!T14+'c'!T14</f>
        <v>0</v>
      </c>
      <c r="U14" s="74">
        <f>a!U14+b!U14+'c'!U14</f>
        <v>0</v>
      </c>
      <c r="V14" s="74">
        <f>a!V14+b!V14+'c'!V14</f>
        <v>576220</v>
      </c>
      <c r="W14" s="74">
        <f>a!W14+b!W14+'c'!W14</f>
        <v>0</v>
      </c>
      <c r="X14" s="74">
        <f>a!X14+b!X14+'c'!X14</f>
        <v>0</v>
      </c>
      <c r="Y14" s="74">
        <f>a!Y14+b!Y14+'c'!Y14</f>
        <v>0</v>
      </c>
      <c r="Z14" s="74">
        <f>a!Z14+b!Z14+'c'!Z14</f>
        <v>576220</v>
      </c>
      <c r="AA14" s="74">
        <f>a!AA14+b!AA14+'c'!AA14</f>
        <v>576220</v>
      </c>
      <c r="AB14" s="74">
        <f>a!AB14+b!AB14+'c'!AB14</f>
        <v>1269474</v>
      </c>
      <c r="AC14" s="819">
        <f t="shared" si="0"/>
        <v>220.3106452396654</v>
      </c>
      <c r="AD14" s="178"/>
      <c r="AE14" s="75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824"/>
    </row>
    <row r="15" spans="1:58">
      <c r="A15" s="72" t="s">
        <v>532</v>
      </c>
      <c r="B15" s="73">
        <v>6</v>
      </c>
      <c r="C15" s="74">
        <f>a!C15+b!C15+'c'!C15</f>
        <v>120700000</v>
      </c>
      <c r="D15" s="74">
        <f>a!D15+b!D15+'c'!D15</f>
        <v>0</v>
      </c>
      <c r="E15" s="74">
        <f>a!E15+b!E15+'c'!E15</f>
        <v>120700000</v>
      </c>
      <c r="F15" s="74">
        <f>a!F15+b!F15+'c'!F15</f>
        <v>0</v>
      </c>
      <c r="G15" s="74">
        <f>a!G15+b!G15+'c'!G15</f>
        <v>0</v>
      </c>
      <c r="H15" s="74">
        <f>a!H15+b!H15+'c'!H15</f>
        <v>0</v>
      </c>
      <c r="I15" s="74">
        <f>a!I15+b!I15+'c'!I15</f>
        <v>0</v>
      </c>
      <c r="J15" s="74">
        <f>a!J15+b!J15+'c'!J15</f>
        <v>0</v>
      </c>
      <c r="K15" s="74">
        <f>a!K15+b!K15+'c'!K15</f>
        <v>4600000</v>
      </c>
      <c r="L15" s="74">
        <f>a!L15+b!L15+'c'!L15</f>
        <v>4600000</v>
      </c>
      <c r="M15" s="74">
        <f>a!M15+b!M15+'c'!M15</f>
        <v>125300000</v>
      </c>
      <c r="N15" s="74">
        <f>a!N15+b!N15+'c'!N15</f>
        <v>0</v>
      </c>
      <c r="O15" s="74">
        <f>a!O15+b!O15+'c'!O15</f>
        <v>2000000</v>
      </c>
      <c r="P15" s="74">
        <f>a!P15+b!P15+'c'!P15</f>
        <v>0</v>
      </c>
      <c r="Q15" s="74">
        <f>a!Q15+b!Q15+'c'!Q15</f>
        <v>0</v>
      </c>
      <c r="R15" s="74">
        <f>a!R15+b!R15+'c'!R15</f>
        <v>5885350</v>
      </c>
      <c r="S15" s="74">
        <f>a!S15+b!S15+'c'!S15</f>
        <v>7885350</v>
      </c>
      <c r="T15" s="74">
        <f>a!T15+b!T15+'c'!T15</f>
        <v>133185350</v>
      </c>
      <c r="U15" s="74">
        <f>a!U15+b!U15+'c'!U15</f>
        <v>0</v>
      </c>
      <c r="V15" s="74">
        <f>a!V15+b!V15+'c'!V15</f>
        <v>0</v>
      </c>
      <c r="W15" s="74">
        <f>a!W15+b!W15+'c'!W15</f>
        <v>0</v>
      </c>
      <c r="X15" s="74">
        <f>a!X15+b!X15+'c'!X15</f>
        <v>0</v>
      </c>
      <c r="Y15" s="74">
        <f>a!Y15+b!Y15+'c'!Y15</f>
        <v>17982915</v>
      </c>
      <c r="Z15" s="74">
        <f>a!Z15+b!Z15+'c'!Z15</f>
        <v>17982915</v>
      </c>
      <c r="AA15" s="74">
        <f>a!AA15+b!AA15+'c'!AA15</f>
        <v>151168265</v>
      </c>
      <c r="AB15" s="74">
        <f>a!AB15+b!AB15+'c'!AB15</f>
        <v>151165962</v>
      </c>
      <c r="AC15" s="819">
        <f t="shared" si="0"/>
        <v>99.998476532094884</v>
      </c>
      <c r="AD15" s="178"/>
      <c r="AE15" s="75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824"/>
    </row>
    <row r="16" spans="1:58">
      <c r="A16" s="72" t="s">
        <v>319</v>
      </c>
      <c r="B16" s="73">
        <v>7</v>
      </c>
      <c r="C16" s="74">
        <f>a!C16+b!C16+'c'!C16</f>
        <v>0</v>
      </c>
      <c r="D16" s="74">
        <f>a!D16+b!D16+'c'!D16</f>
        <v>173722606</v>
      </c>
      <c r="E16" s="74">
        <f>a!E16+b!E16+'c'!E16</f>
        <v>173722606</v>
      </c>
      <c r="F16" s="74">
        <f>a!F16+b!F16+'c'!F16</f>
        <v>0</v>
      </c>
      <c r="G16" s="74">
        <f>a!G16+b!G16+'c'!G16</f>
        <v>0</v>
      </c>
      <c r="H16" s="74">
        <f>a!H16+b!H16+'c'!H16</f>
        <v>0</v>
      </c>
      <c r="I16" s="74">
        <f>a!I16+b!I16+'c'!I16</f>
        <v>0</v>
      </c>
      <c r="J16" s="74">
        <f>a!J16+b!J16+'c'!J16</f>
        <v>0</v>
      </c>
      <c r="K16" s="74">
        <f>a!K16+b!K16+'c'!K16</f>
        <v>569959</v>
      </c>
      <c r="L16" s="74">
        <f>a!L16+b!L16+'c'!L16</f>
        <v>569959</v>
      </c>
      <c r="M16" s="74">
        <f>a!M16+b!M16+'c'!M16</f>
        <v>174292565</v>
      </c>
      <c r="N16" s="74">
        <f>a!N16+b!N16+'c'!N16</f>
        <v>0</v>
      </c>
      <c r="O16" s="74">
        <f>a!O16+b!O16+'c'!O16</f>
        <v>0</v>
      </c>
      <c r="P16" s="74">
        <f>a!P16+b!P16+'c'!P16</f>
        <v>0</v>
      </c>
      <c r="Q16" s="74">
        <f>a!Q16+b!Q16+'c'!Q16</f>
        <v>0</v>
      </c>
      <c r="R16" s="74">
        <f>a!R16+b!R16+'c'!R16</f>
        <v>1561396</v>
      </c>
      <c r="S16" s="74">
        <f>a!S16+b!S16+'c'!S16</f>
        <v>1561396</v>
      </c>
      <c r="T16" s="74">
        <f>a!T16+b!T16+'c'!T16</f>
        <v>175853961</v>
      </c>
      <c r="U16" s="74">
        <f>a!U16+b!U16+'c'!U16</f>
        <v>0</v>
      </c>
      <c r="V16" s="74">
        <f>a!V16+b!V16+'c'!V16</f>
        <v>0</v>
      </c>
      <c r="W16" s="74">
        <f>a!W16+b!W16+'c'!W16</f>
        <v>0</v>
      </c>
      <c r="X16" s="74">
        <f>a!X16+b!X16+'c'!X16</f>
        <v>0</v>
      </c>
      <c r="Y16" s="74">
        <f>a!Y16+b!Y16+'c'!Y16</f>
        <v>103000</v>
      </c>
      <c r="Z16" s="74">
        <f>a!Z16+b!Z16+'c'!Z16</f>
        <v>103000</v>
      </c>
      <c r="AA16" s="74">
        <f>a!AA16+b!AA16+'c'!AA16</f>
        <v>175956961</v>
      </c>
      <c r="AB16" s="74">
        <f>a!AB16+b!AB16+'c'!AB16</f>
        <v>175956961</v>
      </c>
      <c r="AC16" s="819">
        <f t="shared" si="0"/>
        <v>100</v>
      </c>
      <c r="AD16" s="178"/>
      <c r="AE16" s="75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824"/>
    </row>
    <row r="17" spans="1:58">
      <c r="A17" s="72" t="s">
        <v>595</v>
      </c>
      <c r="B17" s="73">
        <v>8</v>
      </c>
      <c r="C17" s="74"/>
      <c r="D17" s="74"/>
      <c r="E17" s="74">
        <f>a!E17+b!E17+'c'!E17</f>
        <v>0</v>
      </c>
      <c r="F17" s="74">
        <f>a!F17+b!F17+'c'!F17</f>
        <v>845615066</v>
      </c>
      <c r="G17" s="74">
        <f>a!G17+b!G17+'c'!G17</f>
        <v>0</v>
      </c>
      <c r="H17" s="74">
        <f>a!H17+b!H17+'c'!H17</f>
        <v>0</v>
      </c>
      <c r="I17" s="74">
        <f>a!I17+b!I17+'c'!I17</f>
        <v>0</v>
      </c>
      <c r="J17" s="74">
        <f>a!J17+b!J17+'c'!J17</f>
        <v>0</v>
      </c>
      <c r="K17" s="74">
        <f>a!K17+b!K17+'c'!K17</f>
        <v>0</v>
      </c>
      <c r="L17" s="74">
        <f>a!L17+b!L17+'c'!L17</f>
        <v>845615066</v>
      </c>
      <c r="M17" s="74">
        <f>a!M17+b!M17+'c'!M17</f>
        <v>845615066</v>
      </c>
      <c r="N17" s="74">
        <f>a!N17+b!N17+'c'!N17</f>
        <v>0</v>
      </c>
      <c r="O17" s="74">
        <f>a!O17+b!O17+'c'!O17</f>
        <v>0</v>
      </c>
      <c r="P17" s="74">
        <f>a!P17+b!P17+'c'!P17</f>
        <v>0</v>
      </c>
      <c r="Q17" s="74">
        <f>a!Q17+b!Q17+'c'!Q17</f>
        <v>0</v>
      </c>
      <c r="R17" s="74">
        <f>a!R17+b!R17+'c'!R17</f>
        <v>0</v>
      </c>
      <c r="S17" s="74">
        <f>a!S17+b!S17+'c'!S17</f>
        <v>0</v>
      </c>
      <c r="T17" s="74">
        <f>a!T17+b!T17+'c'!T17</f>
        <v>845615066</v>
      </c>
      <c r="U17" s="74">
        <f>a!U17+b!U17+'c'!U17</f>
        <v>0</v>
      </c>
      <c r="V17" s="74">
        <f>a!V17+b!V17+'c'!V17</f>
        <v>0</v>
      </c>
      <c r="W17" s="74">
        <f>a!W17+b!W17+'c'!W17</f>
        <v>0</v>
      </c>
      <c r="X17" s="74">
        <f>a!X17+b!X17+'c'!X17</f>
        <v>0</v>
      </c>
      <c r="Y17" s="74">
        <f>a!Y17+b!Y17+'c'!Y17</f>
        <v>0</v>
      </c>
      <c r="Z17" s="74">
        <f>a!Z17+b!Z17+'c'!Z17</f>
        <v>0</v>
      </c>
      <c r="AA17" s="74">
        <f>a!AA17+b!AA17+'c'!AA17</f>
        <v>845615066</v>
      </c>
      <c r="AB17" s="74">
        <f>a!AB17+b!AB17+'c'!AB17</f>
        <v>845615066</v>
      </c>
      <c r="AC17" s="819">
        <f t="shared" si="0"/>
        <v>100</v>
      </c>
      <c r="AD17" s="178"/>
      <c r="AE17" s="75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824"/>
    </row>
    <row r="18" spans="1:58">
      <c r="A18" s="77" t="s">
        <v>20</v>
      </c>
      <c r="B18" s="78"/>
      <c r="C18" s="79">
        <f>SUM(C8:C16)</f>
        <v>1871979154</v>
      </c>
      <c r="D18" s="79">
        <f>SUM(D8:D16)</f>
        <v>306785767</v>
      </c>
      <c r="E18" s="79">
        <f>SUM(E8:E17)</f>
        <v>2178764921</v>
      </c>
      <c r="F18" s="79">
        <f t="shared" ref="F18" si="1">SUM(F8:F17)</f>
        <v>845615066</v>
      </c>
      <c r="G18" s="79">
        <f t="shared" ref="G18:M18" si="2">SUM(G8:G17)</f>
        <v>0</v>
      </c>
      <c r="H18" s="79">
        <f t="shared" si="2"/>
        <v>0</v>
      </c>
      <c r="I18" s="79">
        <f t="shared" si="2"/>
        <v>0</v>
      </c>
      <c r="J18" s="79">
        <f t="shared" si="2"/>
        <v>0</v>
      </c>
      <c r="K18" s="79">
        <f t="shared" si="2"/>
        <v>240651215</v>
      </c>
      <c r="L18" s="79">
        <f t="shared" si="2"/>
        <v>1086266281</v>
      </c>
      <c r="M18" s="79">
        <f t="shared" si="2"/>
        <v>3265031202</v>
      </c>
      <c r="N18" s="79">
        <f>a!N18+b!N18+'c'!N18</f>
        <v>0</v>
      </c>
      <c r="O18" s="79">
        <f>a!O18+b!O18+'c'!O18</f>
        <v>7764832</v>
      </c>
      <c r="P18" s="79">
        <f>a!P18+b!P18+'c'!P18</f>
        <v>0</v>
      </c>
      <c r="Q18" s="79">
        <f>a!Q18+b!Q18+'c'!Q18</f>
        <v>0</v>
      </c>
      <c r="R18" s="79">
        <f>a!R18+b!R18+'c'!R18</f>
        <v>216382412</v>
      </c>
      <c r="S18" s="79">
        <f>a!S18+b!S18+'c'!S18</f>
        <v>224147244</v>
      </c>
      <c r="T18" s="79">
        <f>a!T18+b!T18+'c'!T18</f>
        <v>3489178446</v>
      </c>
      <c r="U18" s="79">
        <f>a!U18+b!U18+'c'!U18</f>
        <v>0</v>
      </c>
      <c r="V18" s="79">
        <f>a!V18+b!V18+'c'!V18</f>
        <v>165074973</v>
      </c>
      <c r="W18" s="79">
        <f>a!W18+b!W18+'c'!W18</f>
        <v>0</v>
      </c>
      <c r="X18" s="79">
        <f>a!X18+b!X18+'c'!X18</f>
        <v>0</v>
      </c>
      <c r="Y18" s="79">
        <f>a!Y18+b!Y18+'c'!Y18</f>
        <v>84221942</v>
      </c>
      <c r="Z18" s="79">
        <f>a!Z18+b!Z18+'c'!Z18</f>
        <v>249296915</v>
      </c>
      <c r="AA18" s="79">
        <f>a!AA18+b!AA18+'c'!AA18</f>
        <v>3738475361</v>
      </c>
      <c r="AB18" s="79">
        <f>a!AB18+b!AB18+'c'!AB18</f>
        <v>3729558194</v>
      </c>
      <c r="AC18" s="820">
        <f t="shared" si="0"/>
        <v>99.761475838706218</v>
      </c>
      <c r="AD18" s="180" t="s">
        <v>21</v>
      </c>
      <c r="AE18" s="80"/>
      <c r="AF18" s="81">
        <f>a!AF18+b!AF18+'c'!AF18</f>
        <v>7559645192</v>
      </c>
      <c r="AG18" s="81">
        <f>a!AG18+b!AG18+'c'!AG18</f>
        <v>580303440</v>
      </c>
      <c r="AH18" s="81">
        <f>a!AH18+b!AH18+'c'!AH18</f>
        <v>8139948632</v>
      </c>
      <c r="AI18" s="81">
        <f>a!AI18+b!AI18+'c'!AI18</f>
        <v>845615066</v>
      </c>
      <c r="AJ18" s="81">
        <f>a!AJ18+b!AJ18+'c'!AJ18</f>
        <v>1235489</v>
      </c>
      <c r="AK18" s="81">
        <f>a!AK18+b!AK18+'c'!AK18</f>
        <v>3000000</v>
      </c>
      <c r="AL18" s="81">
        <f>a!AL18+b!AL18+'c'!AL18</f>
        <v>0</v>
      </c>
      <c r="AM18" s="81">
        <f>a!AM18+b!AM18+'c'!AM18</f>
        <v>129951059</v>
      </c>
      <c r="AN18" s="81">
        <f>a!AN18+b!AN18+'c'!AN18</f>
        <v>240651215</v>
      </c>
      <c r="AO18" s="81">
        <f>a!AO18+b!AO18+'c'!AO18</f>
        <v>1220452829</v>
      </c>
      <c r="AP18" s="81">
        <f>a!AP18+b!AP18+'c'!AP18</f>
        <v>9360401461</v>
      </c>
      <c r="AQ18" s="81">
        <f>a!AQ18+b!AQ18+'c'!AQ18</f>
        <v>18243682</v>
      </c>
      <c r="AR18" s="81">
        <f>a!AR18+b!AR18+'c'!AR18</f>
        <v>35216663</v>
      </c>
      <c r="AS18" s="81">
        <f>a!AS18+b!AS18+'c'!AS18</f>
        <v>4048000</v>
      </c>
      <c r="AT18" s="81">
        <f>a!AT18+b!AT18+'c'!AT18</f>
        <v>65185340</v>
      </c>
      <c r="AU18" s="81">
        <f>a!AU18+b!AU18+'c'!AU18</f>
        <v>216382412</v>
      </c>
      <c r="AV18" s="81">
        <f>a!AV18+b!AV18+'c'!AV18</f>
        <v>339076097</v>
      </c>
      <c r="AW18" s="81">
        <f>a!AW18+b!AW18+'c'!AW18</f>
        <v>9699477558</v>
      </c>
      <c r="AX18" s="81">
        <f>a!AX18+b!AX18+'c'!AX18</f>
        <v>3000000</v>
      </c>
      <c r="AY18" s="81">
        <f>a!AY18+b!AY18+'c'!AY18</f>
        <v>194097295</v>
      </c>
      <c r="AZ18" s="81">
        <f>a!AZ18+b!AZ18+'c'!AZ18</f>
        <v>3511000</v>
      </c>
      <c r="BA18" s="81">
        <f>a!BA18+b!BA18+'c'!BA18</f>
        <v>61079586</v>
      </c>
      <c r="BB18" s="81">
        <f>a!BB18+b!BB18+'c'!BB18</f>
        <v>84221942</v>
      </c>
      <c r="BC18" s="81">
        <f>a!BC18+b!BC18+'c'!BC18</f>
        <v>345909823</v>
      </c>
      <c r="BD18" s="81">
        <f>a!BD18+b!BD18+'c'!BD18</f>
        <v>10045387381</v>
      </c>
      <c r="BE18" s="81">
        <f>a!BE18+b!BE18+'c'!BE18</f>
        <v>8871467233</v>
      </c>
      <c r="BF18" s="825">
        <f>BE18/BD18*100</f>
        <v>88.313838944425669</v>
      </c>
    </row>
    <row r="19" spans="1:58" ht="12.5" customHeight="1">
      <c r="A19" s="82"/>
      <c r="B19" s="83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>
        <f>a!N19+b!N19+'c'!N19</f>
        <v>0</v>
      </c>
      <c r="O19" s="84">
        <f>a!O19+b!O19+'c'!O19</f>
        <v>0</v>
      </c>
      <c r="P19" s="84">
        <f>a!P19+b!P19+'c'!P19</f>
        <v>0</v>
      </c>
      <c r="Q19" s="84">
        <f>a!Q19+b!Q19+'c'!Q19</f>
        <v>0</v>
      </c>
      <c r="R19" s="84">
        <f>a!R19+b!R19+'c'!R19</f>
        <v>0</v>
      </c>
      <c r="S19" s="84">
        <f>a!S19+b!S19+'c'!S19</f>
        <v>0</v>
      </c>
      <c r="T19" s="84">
        <f>a!T19+b!T19+'c'!T19</f>
        <v>0</v>
      </c>
      <c r="U19" s="84">
        <f>a!U19+b!U19+'c'!U19</f>
        <v>0</v>
      </c>
      <c r="V19" s="84">
        <f>a!V19+b!V19+'c'!V19</f>
        <v>0</v>
      </c>
      <c r="W19" s="84">
        <f>a!W19+b!W19+'c'!W19</f>
        <v>0</v>
      </c>
      <c r="X19" s="84">
        <f>a!X19+b!X19+'c'!X19</f>
        <v>0</v>
      </c>
      <c r="Y19" s="84">
        <f>a!Y19+b!Y19+'c'!Y19</f>
        <v>0</v>
      </c>
      <c r="Z19" s="84">
        <f>a!Z19+b!Z19+'c'!Z19</f>
        <v>0</v>
      </c>
      <c r="AA19" s="84">
        <f>a!AA19+b!AA19+'c'!AA19</f>
        <v>0</v>
      </c>
      <c r="AB19" s="84">
        <f>a!AB19+b!AB19+'c'!AB19</f>
        <v>0</v>
      </c>
      <c r="AC19" s="819"/>
      <c r="AD19" s="180"/>
      <c r="AE19" s="80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826"/>
    </row>
    <row r="20" spans="1:58">
      <c r="A20" s="82" t="s">
        <v>373</v>
      </c>
      <c r="B20" s="83">
        <v>3</v>
      </c>
      <c r="C20" s="84">
        <f>a!C20+b!C20+'c'!C20</f>
        <v>4594101000</v>
      </c>
      <c r="D20" s="84"/>
      <c r="E20" s="84">
        <f>a!E20+b!E20+'c'!E20</f>
        <v>4594101000</v>
      </c>
      <c r="F20" s="84">
        <f>a!F20+b!F20+'c'!F20</f>
        <v>0</v>
      </c>
      <c r="G20" s="84">
        <f>a!G20+b!G20+'c'!G20</f>
        <v>0</v>
      </c>
      <c r="H20" s="84">
        <f>a!H20+b!H20+'c'!H20</f>
        <v>0</v>
      </c>
      <c r="I20" s="84">
        <f>a!I20+b!I20+'c'!I20</f>
        <v>0</v>
      </c>
      <c r="J20" s="84">
        <f>a!J20+b!J20+'c'!J20</f>
        <v>0</v>
      </c>
      <c r="K20" s="84">
        <f>a!K20+b!K20+'c'!K20</f>
        <v>0</v>
      </c>
      <c r="L20" s="84">
        <f>a!L20+b!L20+'c'!L20</f>
        <v>0</v>
      </c>
      <c r="M20" s="84">
        <f>a!M20+b!M20+'c'!M20</f>
        <v>4594101000</v>
      </c>
      <c r="N20" s="84">
        <f>a!N20+b!N20+'c'!N20</f>
        <v>0</v>
      </c>
      <c r="O20" s="84">
        <f>a!O20+b!O20+'c'!O20</f>
        <v>0</v>
      </c>
      <c r="P20" s="84">
        <f>a!P20+b!P20+'c'!P20</f>
        <v>0</v>
      </c>
      <c r="Q20" s="84">
        <f>a!Q20+b!Q20+'c'!Q20</f>
        <v>0</v>
      </c>
      <c r="R20" s="84">
        <f>a!R20+b!R20+'c'!R20</f>
        <v>0</v>
      </c>
      <c r="S20" s="84">
        <f>a!S20+b!S20+'c'!S20</f>
        <v>0</v>
      </c>
      <c r="T20" s="84">
        <f>a!T20+b!T20+'c'!T20</f>
        <v>4594101000</v>
      </c>
      <c r="U20" s="84">
        <f>a!U20+b!U20+'c'!U20</f>
        <v>0</v>
      </c>
      <c r="V20" s="84">
        <f>a!V20+b!V20+'c'!V20</f>
        <v>31505394</v>
      </c>
      <c r="W20" s="84">
        <f>a!W20+b!W20+'c'!W20</f>
        <v>0</v>
      </c>
      <c r="X20" s="84">
        <f>a!X20+b!X20+'c'!X20</f>
        <v>0</v>
      </c>
      <c r="Y20" s="84">
        <f>a!Y20+b!Y20+'c'!Y20</f>
        <v>0</v>
      </c>
      <c r="Z20" s="84">
        <f>a!Z20+b!Z20+'c'!Z20</f>
        <v>31505394</v>
      </c>
      <c r="AA20" s="84">
        <f>a!AA20+b!AA20+'c'!AA20</f>
        <v>4625606394</v>
      </c>
      <c r="AB20" s="84">
        <f>a!AB20+b!AB20+'c'!AB20</f>
        <v>4872436068</v>
      </c>
      <c r="AC20" s="821">
        <f t="shared" si="0"/>
        <v>105.33615818069106</v>
      </c>
      <c r="AD20" s="181" t="s">
        <v>191</v>
      </c>
      <c r="AE20" s="85" t="s">
        <v>314</v>
      </c>
      <c r="AF20" s="76">
        <f>a!AF20+b!AF20+'c'!AF20</f>
        <v>2726237054.5</v>
      </c>
      <c r="AG20" s="76"/>
      <c r="AH20" s="76">
        <f>a!AH20+b!AH20+'c'!AH20</f>
        <v>2537791963</v>
      </c>
      <c r="AI20" s="76">
        <f>a!AI20+b!AI20+'c'!AI20</f>
        <v>373282456</v>
      </c>
      <c r="AJ20" s="76">
        <f>a!AJ20+b!AJ20+'c'!AJ20</f>
        <v>0</v>
      </c>
      <c r="AK20" s="76">
        <f>a!AK20+b!AK20+'c'!AK20</f>
        <v>-1009864</v>
      </c>
      <c r="AL20" s="76">
        <f>a!AL20+b!AL20+'c'!AL20</f>
        <v>53441325</v>
      </c>
      <c r="AM20" s="76">
        <f>a!AM20+b!AM20+'c'!AM20</f>
        <v>82093848</v>
      </c>
      <c r="AN20" s="76">
        <f>a!AN20+b!AN20+'c'!AN20</f>
        <v>0</v>
      </c>
      <c r="AO20" s="76">
        <f>a!AO20+b!AO20+'c'!AO20</f>
        <v>507807765</v>
      </c>
      <c r="AP20" s="76">
        <f>a!AP20+b!AP20+'c'!AP20</f>
        <v>3045599728</v>
      </c>
      <c r="AQ20" s="76">
        <f>a!AQ20+b!AQ20+'c'!AQ20</f>
        <v>0</v>
      </c>
      <c r="AR20" s="76">
        <f>a!AR20+b!AR20+'c'!AR20</f>
        <v>13319200</v>
      </c>
      <c r="AS20" s="76">
        <f>a!AS20+b!AS20+'c'!AS20</f>
        <v>50297081</v>
      </c>
      <c r="AT20" s="76">
        <f>a!AT20+b!AT20+'c'!AT20</f>
        <v>152657447</v>
      </c>
      <c r="AU20" s="76">
        <f>a!AU20+b!AU20+'c'!AU20</f>
        <v>0</v>
      </c>
      <c r="AV20" s="76">
        <f>a!AV20+b!AV20+'c'!AV20</f>
        <v>216273728</v>
      </c>
      <c r="AW20" s="76">
        <f>a!AW20+b!AW20+'c'!AW20</f>
        <v>3259413456</v>
      </c>
      <c r="AX20" s="76">
        <f>a!AX20+b!AX20+'c'!AX20</f>
        <v>26502000</v>
      </c>
      <c r="AY20" s="76">
        <f>a!AY20+b!AY20+'c'!AY20</f>
        <v>10901317</v>
      </c>
      <c r="AZ20" s="76">
        <f>a!AZ20+b!AZ20+'c'!AZ20</f>
        <v>-1263819</v>
      </c>
      <c r="BA20" s="76">
        <f>a!BA20+b!BA20+'c'!BA20</f>
        <v>102770765</v>
      </c>
      <c r="BB20" s="76">
        <f>a!BB20+b!BB20+'c'!BB20</f>
        <v>0</v>
      </c>
      <c r="BC20" s="76">
        <f>a!BC20+b!BC20+'c'!BC20</f>
        <v>138910263</v>
      </c>
      <c r="BD20" s="76">
        <f>a!BD20+b!BD20+'c'!BD20</f>
        <v>3398323719</v>
      </c>
      <c r="BE20" s="76">
        <f>a!BE20+b!BE20+'c'!BE20</f>
        <v>2858228023</v>
      </c>
      <c r="BF20" s="824">
        <f>BE20/BD20*100</f>
        <v>84.106996841403614</v>
      </c>
    </row>
    <row r="21" spans="1:58">
      <c r="A21" s="82" t="s">
        <v>311</v>
      </c>
      <c r="B21" s="83">
        <v>3</v>
      </c>
      <c r="C21" s="84">
        <f>a!C21+b!C21+'c'!C21</f>
        <v>35210000</v>
      </c>
      <c r="D21" s="84"/>
      <c r="E21" s="84">
        <f>a!E21+b!E21+'c'!E21</f>
        <v>35210000</v>
      </c>
      <c r="F21" s="84">
        <f>a!F21+b!F21+'c'!F21</f>
        <v>0</v>
      </c>
      <c r="G21" s="84">
        <f>a!G21+b!G21+'c'!G21</f>
        <v>0</v>
      </c>
      <c r="H21" s="84">
        <f>a!H21+b!H21+'c'!H21</f>
        <v>0</v>
      </c>
      <c r="I21" s="84">
        <f>a!I21+b!I21+'c'!I21</f>
        <v>0</v>
      </c>
      <c r="J21" s="84">
        <f>a!J21+b!J21+'c'!J21</f>
        <v>0</v>
      </c>
      <c r="K21" s="84">
        <f>a!K21+b!K21+'c'!K21</f>
        <v>0</v>
      </c>
      <c r="L21" s="84">
        <f>a!L21+b!L21+'c'!L21</f>
        <v>0</v>
      </c>
      <c r="M21" s="84">
        <f>a!M21+b!M21+'c'!M21</f>
        <v>35210000</v>
      </c>
      <c r="N21" s="84">
        <f>a!N21+b!N21+'c'!N21</f>
        <v>0</v>
      </c>
      <c r="O21" s="84">
        <f>a!O21+b!O21+'c'!O21</f>
        <v>0</v>
      </c>
      <c r="P21" s="84">
        <f>a!P21+b!P21+'c'!P21</f>
        <v>0</v>
      </c>
      <c r="Q21" s="84">
        <f>a!Q21+b!Q21+'c'!Q21</f>
        <v>0</v>
      </c>
      <c r="R21" s="84">
        <f>a!R21+b!R21+'c'!R21</f>
        <v>0</v>
      </c>
      <c r="S21" s="84">
        <f>a!S21+b!S21+'c'!S21</f>
        <v>0</v>
      </c>
      <c r="T21" s="84">
        <f>a!T21+b!T21+'c'!T21</f>
        <v>35210000</v>
      </c>
      <c r="U21" s="84">
        <f>a!U21+b!U21+'c'!U21</f>
        <v>0</v>
      </c>
      <c r="V21" s="84">
        <f>a!V21+b!V21+'c'!V21</f>
        <v>1178817</v>
      </c>
      <c r="W21" s="84">
        <f>a!W21+b!W21+'c'!W21</f>
        <v>0</v>
      </c>
      <c r="X21" s="84">
        <f>a!X21+b!X21+'c'!X21</f>
        <v>0</v>
      </c>
      <c r="Y21" s="84">
        <f>a!Y21+b!Y21+'c'!Y21</f>
        <v>0</v>
      </c>
      <c r="Z21" s="84">
        <f>a!Z21+b!Z21+'c'!Z21</f>
        <v>1178817</v>
      </c>
      <c r="AA21" s="84">
        <f>a!AA21+b!AA21+'c'!AA21</f>
        <v>36388817</v>
      </c>
      <c r="AB21" s="84">
        <f>a!AB21+b!AB21+'c'!AB21</f>
        <v>52657052</v>
      </c>
      <c r="AC21" s="821">
        <f t="shared" si="0"/>
        <v>144.70668832130485</v>
      </c>
      <c r="AD21" s="181" t="s">
        <v>2</v>
      </c>
      <c r="AE21" s="85" t="s">
        <v>315</v>
      </c>
      <c r="AF21" s="76">
        <f>a!AF21+b!AF21+'c'!AF21</f>
        <v>442382952</v>
      </c>
      <c r="AG21" s="76">
        <f>a!AG21+b!AG21+'c'!AG21</f>
        <v>142049000</v>
      </c>
      <c r="AH21" s="76">
        <f>a!AH21+b!AH21+'c'!AH21</f>
        <v>584431952</v>
      </c>
      <c r="AI21" s="76">
        <f>a!AI21+b!AI21+'c'!AI21</f>
        <v>154855029</v>
      </c>
      <c r="AJ21" s="76">
        <f>a!AJ21+b!AJ21+'c'!AJ21</f>
        <v>0</v>
      </c>
      <c r="AK21" s="76">
        <f>a!AK21+b!AK21+'c'!AK21</f>
        <v>149930314</v>
      </c>
      <c r="AL21" s="76">
        <f>a!AL21+b!AL21+'c'!AL21</f>
        <v>30000</v>
      </c>
      <c r="AM21" s="76">
        <f>a!AM21+b!AM21+'c'!AM21</f>
        <v>-810000</v>
      </c>
      <c r="AN21" s="76">
        <f>a!AN21+b!AN21+'c'!AN21</f>
        <v>0</v>
      </c>
      <c r="AO21" s="76">
        <f>a!AO21+b!AO21+'c'!AO21</f>
        <v>304005343</v>
      </c>
      <c r="AP21" s="76">
        <f>a!AP21+b!AP21+'c'!AP21</f>
        <v>888437295</v>
      </c>
      <c r="AQ21" s="76">
        <f>a!AQ21+b!AQ21+'c'!AQ21</f>
        <v>0</v>
      </c>
      <c r="AR21" s="76">
        <f>a!AR21+b!AR21+'c'!AR21</f>
        <v>16411200</v>
      </c>
      <c r="AS21" s="76">
        <f>a!AS21+b!AS21+'c'!AS21</f>
        <v>38960</v>
      </c>
      <c r="AT21" s="76">
        <f>a!AT21+b!AT21+'c'!AT21</f>
        <v>-21524871</v>
      </c>
      <c r="AU21" s="76">
        <f>a!AU21+b!AU21+'c'!AU21</f>
        <v>0</v>
      </c>
      <c r="AV21" s="76">
        <f>a!AV21+b!AV21+'c'!AV21</f>
        <v>-5074711</v>
      </c>
      <c r="AW21" s="76">
        <f>a!AW21+b!AW21+'c'!AW21</f>
        <v>883362584</v>
      </c>
      <c r="AX21" s="76">
        <f>a!AX21+b!AX21+'c'!AX21</f>
        <v>0</v>
      </c>
      <c r="AY21" s="76">
        <f>a!AY21+b!AY21+'c'!AY21</f>
        <v>17178380</v>
      </c>
      <c r="AZ21" s="76">
        <f>a!AZ21+b!AZ21+'c'!AZ21</f>
        <v>0</v>
      </c>
      <c r="BA21" s="76">
        <f>a!BA21+b!BA21+'c'!BA21</f>
        <v>1912400</v>
      </c>
      <c r="BB21" s="76">
        <f>a!BB21+b!BB21+'c'!BB21</f>
        <v>0</v>
      </c>
      <c r="BC21" s="76">
        <f>a!BC21+b!BC21+'c'!BC21</f>
        <v>19090780</v>
      </c>
      <c r="BD21" s="76">
        <f>a!BD21+b!BD21+'c'!BD21</f>
        <v>902453364</v>
      </c>
      <c r="BE21" s="76">
        <f>a!BE21+b!BE21+'c'!BE21</f>
        <v>673651090</v>
      </c>
      <c r="BF21" s="824">
        <f t="shared" ref="BF21:BF49" si="3">BE21/BD21*100</f>
        <v>74.646637363523638</v>
      </c>
    </row>
    <row r="22" spans="1:58">
      <c r="A22" s="72" t="s">
        <v>0</v>
      </c>
      <c r="B22" s="83">
        <v>3</v>
      </c>
      <c r="C22" s="74">
        <f>a!C22+b!C22+'c'!C22</f>
        <v>4629311000</v>
      </c>
      <c r="D22" s="84"/>
      <c r="E22" s="74">
        <f>a!E22+b!E22+'c'!E22</f>
        <v>4629311000</v>
      </c>
      <c r="F22" s="74">
        <f>a!F22+b!F22+'c'!F22</f>
        <v>0</v>
      </c>
      <c r="G22" s="74">
        <f>a!G22+b!G22+'c'!G22</f>
        <v>0</v>
      </c>
      <c r="H22" s="74">
        <f>a!H22+b!H22+'c'!H22</f>
        <v>0</v>
      </c>
      <c r="I22" s="74">
        <f>a!I22+b!I22+'c'!I22</f>
        <v>0</v>
      </c>
      <c r="J22" s="74">
        <f>a!J22+b!J22+'c'!J22</f>
        <v>0</v>
      </c>
      <c r="K22" s="74">
        <f>a!K22+b!K22+'c'!K22</f>
        <v>0</v>
      </c>
      <c r="L22" s="74">
        <f>a!L22+b!L22+'c'!L22</f>
        <v>0</v>
      </c>
      <c r="M22" s="74">
        <f>a!M22+b!M22+'c'!M22</f>
        <v>4629311000</v>
      </c>
      <c r="N22" s="74">
        <f>a!N22+b!N22+'c'!N22</f>
        <v>0</v>
      </c>
      <c r="O22" s="74">
        <f>a!O22+b!O22+'c'!O22</f>
        <v>0</v>
      </c>
      <c r="P22" s="74">
        <f>a!P22+b!P22+'c'!P22</f>
        <v>0</v>
      </c>
      <c r="Q22" s="74">
        <f>a!Q22+b!Q22+'c'!Q22</f>
        <v>0</v>
      </c>
      <c r="R22" s="74">
        <f>a!R22+b!R22+'c'!R22</f>
        <v>0</v>
      </c>
      <c r="S22" s="74">
        <f>a!S22+b!S22+'c'!S22</f>
        <v>0</v>
      </c>
      <c r="T22" s="74">
        <f>a!T22+b!T22+'c'!T22</f>
        <v>4629311000</v>
      </c>
      <c r="U22" s="74">
        <f>a!U22+b!U22+'c'!U22</f>
        <v>0</v>
      </c>
      <c r="V22" s="74">
        <f>a!V22+b!V22+'c'!V22</f>
        <v>32684211</v>
      </c>
      <c r="W22" s="74">
        <f>a!W22+b!W22+'c'!W22</f>
        <v>0</v>
      </c>
      <c r="X22" s="74">
        <f>a!X22+b!X22+'c'!X22</f>
        <v>0</v>
      </c>
      <c r="Y22" s="74">
        <f>a!Y22+b!Y22+'c'!Y22</f>
        <v>0</v>
      </c>
      <c r="Z22" s="74">
        <f>a!Z22+b!Z22+'c'!Z22</f>
        <v>32684211</v>
      </c>
      <c r="AA22" s="74">
        <f>a!AA22+b!AA22+'c'!AA22</f>
        <v>4661995211</v>
      </c>
      <c r="AB22" s="74">
        <f>a!AB22+b!AB22+'c'!AB22</f>
        <v>4925093120</v>
      </c>
      <c r="AC22" s="819">
        <f t="shared" si="0"/>
        <v>105.6434615887039</v>
      </c>
      <c r="AD22" s="179"/>
      <c r="AE22" s="58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824"/>
    </row>
    <row r="23" spans="1:58">
      <c r="A23" s="72"/>
      <c r="B23" s="73"/>
      <c r="C23" s="84"/>
      <c r="D23" s="84"/>
      <c r="E23" s="74"/>
      <c r="F23" s="74"/>
      <c r="G23" s="74"/>
      <c r="H23" s="74"/>
      <c r="I23" s="74"/>
      <c r="J23" s="74"/>
      <c r="K23" s="74"/>
      <c r="L23" s="74"/>
      <c r="M23" s="74"/>
      <c r="N23" s="74">
        <f>a!N23+b!N23+'c'!N23</f>
        <v>0</v>
      </c>
      <c r="O23" s="74">
        <f>a!O23+b!O23+'c'!O23</f>
        <v>0</v>
      </c>
      <c r="P23" s="74">
        <f>a!P23+b!P23+'c'!P23</f>
        <v>0</v>
      </c>
      <c r="Q23" s="74">
        <f>a!Q23+b!Q23+'c'!Q23</f>
        <v>0</v>
      </c>
      <c r="R23" s="74">
        <f>a!R23+b!R23+'c'!R23</f>
        <v>0</v>
      </c>
      <c r="S23" s="74">
        <f>a!S23+b!S23+'c'!S23</f>
        <v>0</v>
      </c>
      <c r="T23" s="74">
        <f>a!T23+b!T23+'c'!T23</f>
        <v>0</v>
      </c>
      <c r="U23" s="74">
        <f>a!U23+b!U23+'c'!U23</f>
        <v>0</v>
      </c>
      <c r="V23" s="74">
        <f>a!V23+b!V23+'c'!V23</f>
        <v>0</v>
      </c>
      <c r="W23" s="74">
        <f>a!W23+b!W23+'c'!W23</f>
        <v>0</v>
      </c>
      <c r="X23" s="74">
        <f>a!X23+b!X23+'c'!X23</f>
        <v>0</v>
      </c>
      <c r="Y23" s="74">
        <f>a!Y23+b!Y23+'c'!Y23</f>
        <v>0</v>
      </c>
      <c r="Z23" s="74">
        <f>a!Z23+b!Z23+'c'!Z23</f>
        <v>0</v>
      </c>
      <c r="AA23" s="74">
        <f>a!AA23+b!AA23+'c'!AA23</f>
        <v>0</v>
      </c>
      <c r="AB23" s="74">
        <f>a!AB23+b!AB23+'c'!AB23</f>
        <v>0</v>
      </c>
      <c r="AC23" s="819"/>
      <c r="AD23" s="181" t="s">
        <v>3</v>
      </c>
      <c r="AE23" s="59" t="s">
        <v>316</v>
      </c>
      <c r="AF23" s="76">
        <f>a!AF23+b!AF23+'c'!AF23</f>
        <v>74469097</v>
      </c>
      <c r="AG23" s="76">
        <f>a!AG23+b!AG23+'c'!AG23</f>
        <v>1188430247</v>
      </c>
      <c r="AH23" s="76">
        <f>a!AH23+b!AH23+'c'!AH23</f>
        <v>1270958864</v>
      </c>
      <c r="AI23" s="76">
        <f>a!AI23+b!AI23+'c'!AI23</f>
        <v>22468057</v>
      </c>
      <c r="AJ23" s="76">
        <f>a!AJ23+b!AJ23+'c'!AJ23</f>
        <v>0</v>
      </c>
      <c r="AK23" s="76">
        <f>a!AK23+b!AK23+'c'!AK23</f>
        <v>28400000</v>
      </c>
      <c r="AL23" s="76">
        <f>a!AL23+b!AL23+'c'!AL23</f>
        <v>0</v>
      </c>
      <c r="AM23" s="76">
        <f>a!AM23+b!AM23+'c'!AM23</f>
        <v>-22547767</v>
      </c>
      <c r="AN23" s="76">
        <f>a!AN23+b!AN23+'c'!AN23</f>
        <v>0</v>
      </c>
      <c r="AO23" s="76">
        <f>a!AO23+b!AO23+'c'!AO23</f>
        <v>28320290</v>
      </c>
      <c r="AP23" s="76">
        <f>a!AP23+b!AP23+'c'!AP23</f>
        <v>1299279154</v>
      </c>
      <c r="AQ23" s="76">
        <f>a!AQ23+b!AQ23+'c'!AQ23</f>
        <v>0</v>
      </c>
      <c r="AR23" s="76">
        <f>a!AR23+b!AR23+'c'!AR23</f>
        <v>3863012</v>
      </c>
      <c r="AS23" s="76">
        <f>a!AS23+b!AS23+'c'!AS23</f>
        <v>0</v>
      </c>
      <c r="AT23" s="76">
        <f>a!AT23+b!AT23+'c'!AT23</f>
        <v>-22966946</v>
      </c>
      <c r="AU23" s="76">
        <f>a!AU23+b!AU23+'c'!AU23</f>
        <v>0</v>
      </c>
      <c r="AV23" s="76">
        <f>a!AV23+b!AV23+'c'!AV23</f>
        <v>-19103934</v>
      </c>
      <c r="AW23" s="76">
        <f>a!AW23+b!AW23+'c'!AW23</f>
        <v>1280175220</v>
      </c>
      <c r="AX23" s="76">
        <f>a!AX23+b!AX23+'c'!AX23</f>
        <v>0</v>
      </c>
      <c r="AY23" s="76">
        <f>a!AY23+b!AY23+'c'!AY23</f>
        <v>0</v>
      </c>
      <c r="AZ23" s="76">
        <f>a!AZ23+b!AZ23+'c'!AZ23</f>
        <v>-16354059</v>
      </c>
      <c r="BA23" s="76">
        <f>a!BA23+b!BA23+'c'!BA23</f>
        <v>-19232455</v>
      </c>
      <c r="BB23" s="76">
        <f>a!BB23+b!BB23+'c'!BB23</f>
        <v>0</v>
      </c>
      <c r="BC23" s="76">
        <f>a!BC23+b!BC23+'c'!BC23</f>
        <v>-35586514</v>
      </c>
      <c r="BD23" s="76">
        <f>a!BD23+b!BD23+'c'!BD23</f>
        <v>1244588706</v>
      </c>
      <c r="BE23" s="76">
        <f>a!BE23+b!BE23+'c'!BE23</f>
        <v>579011620</v>
      </c>
      <c r="BF23" s="824">
        <f t="shared" si="3"/>
        <v>46.522326388521797</v>
      </c>
    </row>
    <row r="24" spans="1:58">
      <c r="A24" s="72" t="s">
        <v>312</v>
      </c>
      <c r="B24" s="73">
        <v>4</v>
      </c>
      <c r="C24" s="74">
        <f>a!C24+b!C24+'c'!C24</f>
        <v>1290519883</v>
      </c>
      <c r="D24" s="84"/>
      <c r="E24" s="74">
        <f>a!E24+b!E24+'c'!E24</f>
        <v>1290519883</v>
      </c>
      <c r="F24" s="74">
        <f>a!F24+b!F24+'c'!F24</f>
        <v>0</v>
      </c>
      <c r="G24" s="74">
        <f>a!G24+b!G24+'c'!G24</f>
        <v>0</v>
      </c>
      <c r="H24" s="74">
        <f>a!H24+b!H24+'c'!H24</f>
        <v>149930314</v>
      </c>
      <c r="I24" s="74">
        <f>a!I24+b!I24+'c'!I24</f>
        <v>0</v>
      </c>
      <c r="J24" s="74">
        <f>a!J24+b!J24+'c'!J24</f>
        <v>0</v>
      </c>
      <c r="K24" s="74">
        <f>a!K24+b!K24+'c'!K24</f>
        <v>0</v>
      </c>
      <c r="L24" s="74">
        <f>a!L24+b!L24+'c'!L24</f>
        <v>149930314</v>
      </c>
      <c r="M24" s="74">
        <f>a!M24+b!M24+'c'!M24</f>
        <v>1440450197</v>
      </c>
      <c r="N24" s="74">
        <f>a!N24+b!N24+'c'!N24</f>
        <v>0</v>
      </c>
      <c r="O24" s="74">
        <f>a!O24+b!O24+'c'!O24</f>
        <v>0</v>
      </c>
      <c r="P24" s="74">
        <f>a!P24+b!P24+'c'!P24</f>
        <v>0</v>
      </c>
      <c r="Q24" s="74">
        <f>a!Q24+b!Q24+'c'!Q24</f>
        <v>0</v>
      </c>
      <c r="R24" s="74">
        <f>a!R24+b!R24+'c'!R24</f>
        <v>0</v>
      </c>
      <c r="S24" s="74">
        <f>a!S24+b!S24+'c'!S24</f>
        <v>0</v>
      </c>
      <c r="T24" s="74">
        <f>a!T24+b!T24+'c'!T24</f>
        <v>1440450197</v>
      </c>
      <c r="U24" s="74">
        <f>a!U24+b!U24+'c'!U24</f>
        <v>0</v>
      </c>
      <c r="V24" s="74">
        <f>a!V24+b!V24+'c'!V24</f>
        <v>-44350740</v>
      </c>
      <c r="W24" s="74">
        <f>a!W24+b!W24+'c'!W24</f>
        <v>0</v>
      </c>
      <c r="X24" s="74">
        <f>a!X24+b!X24+'c'!X24</f>
        <v>2749177</v>
      </c>
      <c r="Y24" s="74">
        <f>a!Y24+b!Y24+'c'!Y24</f>
        <v>0</v>
      </c>
      <c r="Z24" s="74">
        <f>a!Z24+b!Z24+'c'!Z24</f>
        <v>-41601563</v>
      </c>
      <c r="AA24" s="74">
        <f>a!AA24+b!AA24+'c'!AA24</f>
        <v>1398848634</v>
      </c>
      <c r="AB24" s="74">
        <f>a!AB24+b!AB24+'c'!AB24</f>
        <v>1427129202</v>
      </c>
      <c r="AC24" s="819">
        <f t="shared" si="0"/>
        <v>102.0217032288284</v>
      </c>
      <c r="AD24" s="181"/>
      <c r="AE24" s="59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824"/>
    </row>
    <row r="25" spans="1:58">
      <c r="A25" s="82" t="s">
        <v>1</v>
      </c>
      <c r="B25" s="83">
        <v>5</v>
      </c>
      <c r="C25" s="84"/>
      <c r="D25" s="84">
        <f>a!D25+b!D25+'c'!D25</f>
        <v>213034798</v>
      </c>
      <c r="E25" s="84">
        <f>a!E25+b!E25+'c'!E25</f>
        <v>213034798</v>
      </c>
      <c r="F25" s="84">
        <f>a!F25+b!F25+'c'!F25</f>
        <v>0</v>
      </c>
      <c r="G25" s="84">
        <f>a!G25+b!G25+'c'!G25</f>
        <v>0</v>
      </c>
      <c r="H25" s="84">
        <f>a!H25+b!H25+'c'!H25</f>
        <v>0</v>
      </c>
      <c r="I25" s="84">
        <f>a!I25+b!I25+'c'!I25</f>
        <v>0</v>
      </c>
      <c r="J25" s="84">
        <f>a!J25+b!J25+'c'!J25</f>
        <v>0</v>
      </c>
      <c r="K25" s="84">
        <f>a!K25+b!K25+'c'!K25</f>
        <v>0</v>
      </c>
      <c r="L25" s="84">
        <f>a!L25+b!L25+'c'!L25</f>
        <v>0</v>
      </c>
      <c r="M25" s="84">
        <f>a!M25+b!M25+'c'!M25</f>
        <v>213034798</v>
      </c>
      <c r="N25" s="84">
        <f>a!N25+b!N25+'c'!N25</f>
        <v>0</v>
      </c>
      <c r="O25" s="84">
        <f>a!O25+b!O25+'c'!O25</f>
        <v>0</v>
      </c>
      <c r="P25" s="84">
        <f>a!P25+b!P25+'c'!P25</f>
        <v>0</v>
      </c>
      <c r="Q25" s="84">
        <f>a!Q25+b!Q25+'c'!Q25</f>
        <v>0</v>
      </c>
      <c r="R25" s="84">
        <f>a!R25+b!R25+'c'!R25</f>
        <v>0</v>
      </c>
      <c r="S25" s="84">
        <f>a!S25+b!S25+'c'!S25</f>
        <v>0</v>
      </c>
      <c r="T25" s="84">
        <f>a!T25+b!T25+'c'!T25</f>
        <v>213034798</v>
      </c>
      <c r="U25" s="84">
        <f>a!U25+b!U25+'c'!U25</f>
        <v>0</v>
      </c>
      <c r="V25" s="84">
        <f>a!V25+b!V25+'c'!V25</f>
        <v>17178380</v>
      </c>
      <c r="W25" s="84">
        <f>a!W25+b!W25+'c'!W25</f>
        <v>0</v>
      </c>
      <c r="X25" s="84">
        <f>a!X25+b!X25+'c'!X25</f>
        <v>0</v>
      </c>
      <c r="Y25" s="84">
        <f>a!Y25+b!Y25+'c'!Y25</f>
        <v>0</v>
      </c>
      <c r="Z25" s="84">
        <f>a!Z25+b!Z25+'c'!Z25</f>
        <v>17178380</v>
      </c>
      <c r="AA25" s="84">
        <f>a!AA25+b!AA25+'c'!AA25</f>
        <v>230213178</v>
      </c>
      <c r="AB25" s="84">
        <f>a!AB25+b!AB25+'c'!AB25</f>
        <v>172044602</v>
      </c>
      <c r="AC25" s="821">
        <f t="shared" si="0"/>
        <v>74.732734022723932</v>
      </c>
      <c r="AD25" s="181" t="s">
        <v>4</v>
      </c>
      <c r="AE25" s="59" t="s">
        <v>382</v>
      </c>
      <c r="AF25" s="76">
        <f>a!AF25+b!AF25+'c'!AF25</f>
        <v>2619956217</v>
      </c>
      <c r="AG25" s="76">
        <f>a!AG25+b!AG25+'c'!AG25</f>
        <v>20423630189</v>
      </c>
      <c r="AH25" s="76">
        <f>a!AH25+b!AH25+'c'!AH25</f>
        <v>23043586406</v>
      </c>
      <c r="AI25" s="76">
        <f>a!AI25+b!AI25+'c'!AI25</f>
        <v>0</v>
      </c>
      <c r="AJ25" s="76">
        <f>a!AJ25+b!AJ25+'c'!AJ25</f>
        <v>0</v>
      </c>
      <c r="AK25" s="76">
        <f>a!AK25+b!AK25+'c'!AK25</f>
        <v>0</v>
      </c>
      <c r="AL25" s="76">
        <f>a!AL25+b!AL25+'c'!AL25</f>
        <v>0</v>
      </c>
      <c r="AM25" s="76">
        <f>a!AM25+b!AM25+'c'!AM25</f>
        <v>-19012374</v>
      </c>
      <c r="AN25" s="76">
        <f>a!AN25+b!AN25+'c'!AN25</f>
        <v>0</v>
      </c>
      <c r="AO25" s="76">
        <f>a!AO25+b!AO25+'c'!AO25</f>
        <v>-19012374</v>
      </c>
      <c r="AP25" s="76">
        <f>a!AP25+b!AP25+'c'!AP25</f>
        <v>23024574032</v>
      </c>
      <c r="AQ25" s="76">
        <f>a!AQ25+b!AQ25+'c'!AQ25</f>
        <v>0</v>
      </c>
      <c r="AR25" s="76">
        <f>a!AR25+b!AR25+'c'!AR25</f>
        <v>0</v>
      </c>
      <c r="AS25" s="76">
        <f>a!AS25+b!AS25+'c'!AS25</f>
        <v>0</v>
      </c>
      <c r="AT25" s="76">
        <f>a!AT25+b!AT25+'c'!AT25</f>
        <v>83834614</v>
      </c>
      <c r="AU25" s="76">
        <f>a!AU25+b!AU25+'c'!AU25</f>
        <v>0</v>
      </c>
      <c r="AV25" s="76">
        <f>a!AV25+b!AV25+'c'!AV25</f>
        <v>83834614</v>
      </c>
      <c r="AW25" s="76">
        <f>a!AW25+b!AW25+'c'!AW25</f>
        <v>23108408646</v>
      </c>
      <c r="AX25" s="76">
        <f>a!AX25+b!AX25+'c'!AX25</f>
        <v>0</v>
      </c>
      <c r="AY25" s="76">
        <f>a!AY25+b!AY25+'c'!AY25</f>
        <v>-5500000000</v>
      </c>
      <c r="AZ25" s="76">
        <f>a!AZ25+b!AZ25+'c'!AZ25</f>
        <v>-895217606</v>
      </c>
      <c r="BA25" s="76">
        <f>a!BA25+b!BA25+'c'!BA25</f>
        <v>38399857</v>
      </c>
      <c r="BB25" s="76">
        <f>a!BB25+b!BB25+'c'!BB25</f>
        <v>0</v>
      </c>
      <c r="BC25" s="76">
        <f>a!BC25+b!BC25+'c'!BC25</f>
        <v>-6356817749</v>
      </c>
      <c r="BD25" s="76">
        <f>a!BD25+b!BD25+'c'!BD25</f>
        <v>16751590897</v>
      </c>
      <c r="BE25" s="76">
        <f>a!BE25+b!BE25+'c'!BE25</f>
        <v>2033219863</v>
      </c>
      <c r="BF25" s="824">
        <f t="shared" si="3"/>
        <v>12.137473243595773</v>
      </c>
    </row>
    <row r="26" spans="1:58">
      <c r="A26" s="72" t="s">
        <v>313</v>
      </c>
      <c r="B26" s="83">
        <v>5</v>
      </c>
      <c r="C26" s="84"/>
      <c r="D26" s="74">
        <f>a!D26+b!D26+'c'!D26</f>
        <v>213034798</v>
      </c>
      <c r="E26" s="74">
        <f>a!E26+b!E26+'c'!E26</f>
        <v>213034798</v>
      </c>
      <c r="F26" s="74">
        <f>a!F26+b!F26+'c'!F26</f>
        <v>0</v>
      </c>
      <c r="G26" s="74">
        <f>a!G26+b!G26+'c'!G26</f>
        <v>0</v>
      </c>
      <c r="H26" s="74">
        <f>a!H26+b!H26+'c'!H26</f>
        <v>0</v>
      </c>
      <c r="I26" s="74">
        <f>a!I26+b!I26+'c'!I26</f>
        <v>0</v>
      </c>
      <c r="J26" s="74">
        <f>a!J26+b!J26+'c'!J26</f>
        <v>0</v>
      </c>
      <c r="K26" s="74">
        <f>a!K26+b!K26+'c'!K26</f>
        <v>0</v>
      </c>
      <c r="L26" s="74">
        <f>a!L26+b!L26+'c'!L26</f>
        <v>0</v>
      </c>
      <c r="M26" s="74">
        <f>a!M26+b!M26+'c'!M26</f>
        <v>213034798</v>
      </c>
      <c r="N26" s="74">
        <f>a!N26+b!N26+'c'!N26</f>
        <v>0</v>
      </c>
      <c r="O26" s="74">
        <f>a!O26+b!O26+'c'!O26</f>
        <v>0</v>
      </c>
      <c r="P26" s="74">
        <f>a!P26+b!P26+'c'!P26</f>
        <v>0</v>
      </c>
      <c r="Q26" s="74">
        <f>a!Q26+b!Q26+'c'!Q26</f>
        <v>0</v>
      </c>
      <c r="R26" s="74">
        <f>a!R26+b!R26+'c'!R26</f>
        <v>0</v>
      </c>
      <c r="S26" s="74">
        <f>a!S26+b!S26+'c'!S26</f>
        <v>0</v>
      </c>
      <c r="T26" s="74">
        <f>a!T26+b!T26+'c'!T26</f>
        <v>213034798</v>
      </c>
      <c r="U26" s="74">
        <f>a!U26+b!U26+'c'!U26</f>
        <v>0</v>
      </c>
      <c r="V26" s="74">
        <f>a!V26+b!V26+'c'!V26</f>
        <v>17178380</v>
      </c>
      <c r="W26" s="74">
        <f>a!W26+b!W26+'c'!W26</f>
        <v>0</v>
      </c>
      <c r="X26" s="74">
        <f>a!X26+b!X26+'c'!X26</f>
        <v>0</v>
      </c>
      <c r="Y26" s="74">
        <f>a!Y26+b!Y26+'c'!Y26</f>
        <v>0</v>
      </c>
      <c r="Z26" s="74">
        <f>a!Z26+b!Z26+'c'!Z26</f>
        <v>17178380</v>
      </c>
      <c r="AA26" s="74">
        <f>a!AA26+b!AA26+'c'!AA26</f>
        <v>230213178</v>
      </c>
      <c r="AB26" s="74">
        <f>a!AB26+b!AB26+'c'!AB26</f>
        <v>172044602</v>
      </c>
      <c r="AC26" s="819">
        <f t="shared" si="0"/>
        <v>74.732734022723932</v>
      </c>
      <c r="AD26" s="181" t="s">
        <v>5</v>
      </c>
      <c r="AE26" s="59" t="s">
        <v>382</v>
      </c>
      <c r="AF26" s="76">
        <f>a!AF26+b!AF26+'c'!AF26</f>
        <v>129034601</v>
      </c>
      <c r="AG26" s="76">
        <f>a!AG26+b!AG26+'c'!AG26</f>
        <v>755111397</v>
      </c>
      <c r="AH26" s="76">
        <f>a!AH26+b!AH26+'c'!AH26</f>
        <v>884145998</v>
      </c>
      <c r="AI26" s="76">
        <f>a!AI26+b!AI26+'c'!AI26</f>
        <v>339638275</v>
      </c>
      <c r="AJ26" s="76">
        <f>a!AJ26+b!AJ26+'c'!AJ26</f>
        <v>0</v>
      </c>
      <c r="AK26" s="76">
        <f>a!AK26+b!AK26+'c'!AK26</f>
        <v>0</v>
      </c>
      <c r="AL26" s="76">
        <f>a!AL26+b!AL26+'c'!AL26</f>
        <v>1500000</v>
      </c>
      <c r="AM26" s="76">
        <f>a!AM26+b!AM26+'c'!AM26</f>
        <v>-18282065</v>
      </c>
      <c r="AN26" s="76">
        <f>a!AN26+b!AN26+'c'!AN26</f>
        <v>0</v>
      </c>
      <c r="AO26" s="76">
        <f>a!AO26+b!AO26+'c'!AO26</f>
        <v>322856210</v>
      </c>
      <c r="AP26" s="76">
        <f>a!AP26+b!AP26+'c'!AP26</f>
        <v>1207002208</v>
      </c>
      <c r="AQ26" s="76">
        <f>a!AQ26+b!AQ26+'c'!AQ26</f>
        <v>0</v>
      </c>
      <c r="AR26" s="76">
        <f>a!AR26+b!AR26+'c'!AR26</f>
        <v>0</v>
      </c>
      <c r="AS26" s="76">
        <f>a!AS26+b!AS26+'c'!AS26</f>
        <v>5515638</v>
      </c>
      <c r="AT26" s="76">
        <f>a!AT26+b!AT26+'c'!AT26</f>
        <v>16049086</v>
      </c>
      <c r="AU26" s="76">
        <f>a!AU26+b!AU26+'c'!AU26</f>
        <v>0</v>
      </c>
      <c r="AV26" s="76">
        <f>a!AV26+b!AV26+'c'!AV26</f>
        <v>21564724</v>
      </c>
      <c r="AW26" s="76">
        <f>a!AW26+b!AW26+'c'!AW26</f>
        <v>1228566932</v>
      </c>
      <c r="AX26" s="76">
        <f>a!AX26+b!AX26+'c'!AX26</f>
        <v>1174146932</v>
      </c>
      <c r="AY26" s="76">
        <f>a!AY26+b!AY26+'c'!AY26</f>
        <v>34260604</v>
      </c>
      <c r="AZ26" s="76">
        <f>a!AZ26+b!AZ26+'c'!AZ26</f>
        <v>600000</v>
      </c>
      <c r="BA26" s="76">
        <f>a!BA26+b!BA26+'c'!BA26</f>
        <v>60689172</v>
      </c>
      <c r="BB26" s="76">
        <f>a!BB26+b!BB26+'c'!BB26</f>
        <v>0</v>
      </c>
      <c r="BC26" s="76">
        <f>a!BC26+b!BC26+'c'!BC26</f>
        <v>1269696708</v>
      </c>
      <c r="BD26" s="76">
        <f>a!BD26+b!BD26+'c'!BD26</f>
        <v>2498263640</v>
      </c>
      <c r="BE26" s="76">
        <f>a!BE26+b!BE26+'c'!BE26</f>
        <v>650932934</v>
      </c>
      <c r="BF26" s="824">
        <f t="shared" si="3"/>
        <v>26.055413991455286</v>
      </c>
    </row>
    <row r="27" spans="1:58">
      <c r="A27" s="72"/>
      <c r="B27" s="73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>
        <f>a!N27+b!N27+'c'!N27</f>
        <v>0</v>
      </c>
      <c r="O27" s="84">
        <f>a!O27+b!O27+'c'!O27</f>
        <v>0</v>
      </c>
      <c r="P27" s="84">
        <f>a!P27+b!P27+'c'!P27</f>
        <v>0</v>
      </c>
      <c r="Q27" s="84">
        <f>a!Q27+b!Q27+'c'!Q27</f>
        <v>0</v>
      </c>
      <c r="R27" s="84">
        <f>a!R27+b!R27+'c'!R27</f>
        <v>0</v>
      </c>
      <c r="S27" s="84">
        <f>a!S27+b!S27+'c'!S27</f>
        <v>0</v>
      </c>
      <c r="T27" s="84">
        <f>a!T27+b!T27+'c'!T27</f>
        <v>0</v>
      </c>
      <c r="U27" s="84">
        <f>a!U27+b!U27+'c'!U27</f>
        <v>0</v>
      </c>
      <c r="V27" s="84">
        <f>a!V27+b!V27+'c'!V27</f>
        <v>0</v>
      </c>
      <c r="W27" s="84">
        <f>a!W27+b!W27+'c'!W27</f>
        <v>0</v>
      </c>
      <c r="X27" s="84">
        <f>a!X27+b!X27+'c'!X27</f>
        <v>0</v>
      </c>
      <c r="Y27" s="84">
        <f>a!Y27+b!Y27+'c'!Y27</f>
        <v>0</v>
      </c>
      <c r="Z27" s="84">
        <f>a!Z27+b!Z27+'c'!Z27</f>
        <v>0</v>
      </c>
      <c r="AA27" s="84">
        <f>a!AA27+b!AA27+'c'!AA27</f>
        <v>0</v>
      </c>
      <c r="AB27" s="84">
        <f>a!AB27+b!AB27+'c'!AB27</f>
        <v>0</v>
      </c>
      <c r="AC27" s="819"/>
      <c r="AD27" s="181" t="s">
        <v>593</v>
      </c>
      <c r="AE27" s="59" t="s">
        <v>382</v>
      </c>
      <c r="AF27" s="76">
        <f>a!AF27+b!AF27+'c'!AF27</f>
        <v>0</v>
      </c>
      <c r="AG27" s="76">
        <f>a!AG27+b!AG27+'c'!AG27</f>
        <v>0</v>
      </c>
      <c r="AH27" s="76">
        <f>a!AH27+b!AH27+'c'!AH27</f>
        <v>0</v>
      </c>
      <c r="AI27" s="76">
        <f>a!AI27+b!AI27+'c'!AI27</f>
        <v>11000000</v>
      </c>
      <c r="AJ27" s="76">
        <f>a!AJ27+b!AJ27+'c'!AJ27</f>
        <v>0</v>
      </c>
      <c r="AK27" s="76">
        <f>a!AK27+b!AK27+'c'!AK27</f>
        <v>50000000</v>
      </c>
      <c r="AL27" s="76">
        <f>a!AL27+b!AL27+'c'!AL27</f>
        <v>0</v>
      </c>
      <c r="AM27" s="76">
        <f>a!AM27+b!AM27+'c'!AM27</f>
        <v>0</v>
      </c>
      <c r="AN27" s="76">
        <f>a!AN27+b!AN27+'c'!AN27</f>
        <v>0</v>
      </c>
      <c r="AO27" s="76">
        <f>a!AO27+b!AO27+'c'!AO27</f>
        <v>61000000</v>
      </c>
      <c r="AP27" s="76">
        <f>a!AP27+b!AP27+'c'!AP27</f>
        <v>61000000</v>
      </c>
      <c r="AQ27" s="76">
        <f>a!AQ27+b!AQ27+'c'!AQ27</f>
        <v>0</v>
      </c>
      <c r="AR27" s="76">
        <f>a!AR27+b!AR27+'c'!AR27</f>
        <v>0</v>
      </c>
      <c r="AS27" s="76">
        <f>a!AS27+b!AS27+'c'!AS27</f>
        <v>0</v>
      </c>
      <c r="AT27" s="76">
        <f>a!AT27+b!AT27+'c'!AT27</f>
        <v>0</v>
      </c>
      <c r="AU27" s="76">
        <f>a!AU27+b!AU27+'c'!AU27</f>
        <v>0</v>
      </c>
      <c r="AV27" s="76">
        <f>a!AV27+b!AV27+'c'!AV27</f>
        <v>0</v>
      </c>
      <c r="AW27" s="76">
        <f>a!AW27+b!AW27+'c'!AW27</f>
        <v>61000000</v>
      </c>
      <c r="AX27" s="76">
        <f>a!AX27+b!AX27+'c'!AX27</f>
        <v>0</v>
      </c>
      <c r="AY27" s="76">
        <f>a!AY27+b!AY27+'c'!AY27</f>
        <v>0</v>
      </c>
      <c r="AZ27" s="76">
        <f>a!AZ27+b!AZ27+'c'!AZ27</f>
        <v>0</v>
      </c>
      <c r="BA27" s="76">
        <f>a!BA27+b!BA27+'c'!BA27</f>
        <v>0</v>
      </c>
      <c r="BB27" s="76">
        <f>a!BB27+b!BB27+'c'!BB27</f>
        <v>0</v>
      </c>
      <c r="BC27" s="76">
        <f>a!BC27+b!BC27+'c'!BC27</f>
        <v>0</v>
      </c>
      <c r="BD27" s="76">
        <f>a!BD27+b!BD27+'c'!BD27</f>
        <v>61000000</v>
      </c>
      <c r="BE27" s="76">
        <f>a!BE27+b!BE27+'c'!BE27</f>
        <v>61000000</v>
      </c>
      <c r="BF27" s="824">
        <f t="shared" si="3"/>
        <v>100</v>
      </c>
    </row>
    <row r="28" spans="1:58">
      <c r="A28" s="77" t="s">
        <v>258</v>
      </c>
      <c r="B28" s="78"/>
      <c r="C28" s="79">
        <f>a!C28+b!C28+'c'!C28</f>
        <v>5919830883</v>
      </c>
      <c r="D28" s="79">
        <f>a!D28+b!D28+'c'!D28</f>
        <v>213034798</v>
      </c>
      <c r="E28" s="79">
        <f>a!E28+b!E28+'c'!E28</f>
        <v>6132865681</v>
      </c>
      <c r="F28" s="79">
        <f>a!F28+b!F28+'c'!F28</f>
        <v>0</v>
      </c>
      <c r="G28" s="79">
        <f>a!G28+b!G28+'c'!G28</f>
        <v>0</v>
      </c>
      <c r="H28" s="79">
        <f>a!H28+b!H28+'c'!H28</f>
        <v>149930314</v>
      </c>
      <c r="I28" s="79">
        <f>a!I28+b!I28+'c'!I28</f>
        <v>0</v>
      </c>
      <c r="J28" s="79">
        <f>a!J28+b!J28+'c'!J28</f>
        <v>0</v>
      </c>
      <c r="K28" s="79">
        <f>a!K28+b!K28+'c'!K28</f>
        <v>0</v>
      </c>
      <c r="L28" s="79">
        <f>a!L28+b!L28+'c'!L28</f>
        <v>149930314</v>
      </c>
      <c r="M28" s="79">
        <f>a!M28+b!M28+'c'!M28</f>
        <v>6282795995</v>
      </c>
      <c r="N28" s="79">
        <f>a!N28+b!N28+'c'!N28</f>
        <v>0</v>
      </c>
      <c r="O28" s="79">
        <f>a!O28+b!O28+'c'!O28</f>
        <v>0</v>
      </c>
      <c r="P28" s="79">
        <f>a!P28+b!P28+'c'!P28</f>
        <v>0</v>
      </c>
      <c r="Q28" s="79">
        <f>a!Q28+b!Q28+'c'!Q28</f>
        <v>0</v>
      </c>
      <c r="R28" s="79">
        <f>a!R28+b!R28+'c'!R28</f>
        <v>0</v>
      </c>
      <c r="S28" s="79">
        <f>a!S28+b!S28+'c'!S28</f>
        <v>0</v>
      </c>
      <c r="T28" s="79">
        <f>a!T28+b!T28+'c'!T28</f>
        <v>6282795995</v>
      </c>
      <c r="U28" s="79">
        <f>a!U28+b!U28+'c'!U28</f>
        <v>0</v>
      </c>
      <c r="V28" s="79">
        <f>a!V28+b!V28+'c'!V28</f>
        <v>5511851</v>
      </c>
      <c r="W28" s="79">
        <f>a!W28+b!W28+'c'!W28</f>
        <v>0</v>
      </c>
      <c r="X28" s="79">
        <f>a!X28+b!X28+'c'!X28</f>
        <v>2749177</v>
      </c>
      <c r="Y28" s="79">
        <f>a!Y28+b!Y28+'c'!Y28</f>
        <v>0</v>
      </c>
      <c r="Z28" s="79">
        <f>a!Z28+b!Z28+'c'!Z28</f>
        <v>8261028</v>
      </c>
      <c r="AA28" s="79">
        <f>a!AA28+b!AA28+'c'!AA28</f>
        <v>6291057023</v>
      </c>
      <c r="AB28" s="79">
        <f>a!AB28+b!AB28+'c'!AB28</f>
        <v>6524266924</v>
      </c>
      <c r="AC28" s="820">
        <f t="shared" si="0"/>
        <v>103.70700663095865</v>
      </c>
      <c r="AD28" s="182"/>
      <c r="AE28" s="80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824"/>
    </row>
    <row r="29" spans="1:58" ht="23">
      <c r="A29" s="72" t="s">
        <v>347</v>
      </c>
      <c r="B29" s="73">
        <v>1</v>
      </c>
      <c r="C29" s="74">
        <f>a!C29+b!C29+'c'!C29</f>
        <v>2945000489</v>
      </c>
      <c r="D29" s="74"/>
      <c r="E29" s="74">
        <f>a!E29+b!E29+'c'!E29</f>
        <v>2945000489</v>
      </c>
      <c r="F29" s="74">
        <f>a!F29+b!F29+'c'!F29</f>
        <v>0</v>
      </c>
      <c r="G29" s="74">
        <f>a!G29+b!G29+'c'!G29</f>
        <v>99523319</v>
      </c>
      <c r="H29" s="74">
        <f>a!H29+b!H29+'c'!H29</f>
        <v>0</v>
      </c>
      <c r="I29" s="74">
        <f>a!I29+b!I29+'c'!I29</f>
        <v>0</v>
      </c>
      <c r="J29" s="74">
        <f>a!J29+b!J29+'c'!J29</f>
        <v>0</v>
      </c>
      <c r="K29" s="74">
        <f>a!K29+b!K29+'c'!K29</f>
        <v>0</v>
      </c>
      <c r="L29" s="74">
        <f>a!L29+b!L29+'c'!L29</f>
        <v>99523319</v>
      </c>
      <c r="M29" s="74">
        <f>a!M29+b!M29+'c'!M29</f>
        <v>3044523808</v>
      </c>
      <c r="N29" s="74">
        <f>a!N29+b!N29+'c'!N29</f>
        <v>110130586</v>
      </c>
      <c r="O29" s="74">
        <f>a!O29+b!O29+'c'!O29</f>
        <v>0</v>
      </c>
      <c r="P29" s="74">
        <f>a!P29+b!P29+'c'!P29</f>
        <v>0</v>
      </c>
      <c r="Q29" s="74">
        <f>a!Q29+b!Q29+'c'!Q29</f>
        <v>0</v>
      </c>
      <c r="R29" s="74">
        <f>a!R29+b!R29+'c'!R29</f>
        <v>0</v>
      </c>
      <c r="S29" s="74">
        <f>a!S29+b!S29+'c'!S29</f>
        <v>110130586</v>
      </c>
      <c r="T29" s="74">
        <f>a!T29+b!T29+'c'!T29</f>
        <v>3154654394</v>
      </c>
      <c r="U29" s="74">
        <f>a!U29+b!U29+'c'!U29</f>
        <v>46075031</v>
      </c>
      <c r="V29" s="74">
        <f>a!V29+b!V29+'c'!V29</f>
        <v>0</v>
      </c>
      <c r="W29" s="74">
        <f>a!W29+b!W29+'c'!W29</f>
        <v>0</v>
      </c>
      <c r="X29" s="74">
        <f>a!X29+b!X29+'c'!X29</f>
        <v>0</v>
      </c>
      <c r="Y29" s="74">
        <f>a!Y29+b!Y29+'c'!Y29</f>
        <v>0</v>
      </c>
      <c r="Z29" s="74">
        <f>a!Z29+b!Z29+'c'!Z29</f>
        <v>46075031</v>
      </c>
      <c r="AA29" s="74">
        <f>a!AA29+b!AA29+'c'!AA29</f>
        <v>3200729425</v>
      </c>
      <c r="AB29" s="74">
        <f>a!AB29+b!AB29+'c'!AB29</f>
        <v>3202727389</v>
      </c>
      <c r="AC29" s="819">
        <f t="shared" si="0"/>
        <v>100.06242214616438</v>
      </c>
      <c r="AD29" s="182" t="s">
        <v>265</v>
      </c>
      <c r="AE29" s="80">
        <v>8</v>
      </c>
      <c r="AF29" s="76"/>
      <c r="AG29" s="81">
        <f>a!AG29+b!AG29+'c'!AG29</f>
        <v>7155700</v>
      </c>
      <c r="AH29" s="81">
        <f>a!AH29+b!AH29+'c'!AH29</f>
        <v>7155700</v>
      </c>
      <c r="AI29" s="81">
        <f>a!AI29+b!AI29+'c'!AI29</f>
        <v>43973483</v>
      </c>
      <c r="AJ29" s="81">
        <f>a!AJ29+b!AJ29+'c'!AJ29</f>
        <v>0</v>
      </c>
      <c r="AK29" s="81">
        <f>a!AK29+b!AK29+'c'!AK29</f>
        <v>1089000</v>
      </c>
      <c r="AL29" s="81">
        <f>a!AL29+b!AL29+'c'!AL29</f>
        <v>686340</v>
      </c>
      <c r="AM29" s="81">
        <f>a!AM29+b!AM29+'c'!AM29</f>
        <v>1000000</v>
      </c>
      <c r="AN29" s="81">
        <f>a!AN29+b!AN29+'c'!AN29</f>
        <v>0</v>
      </c>
      <c r="AO29" s="81">
        <f>a!AO29+b!AO29+'c'!AO29</f>
        <v>46748823</v>
      </c>
      <c r="AP29" s="81">
        <f>a!AP29+b!AP29+'c'!AP29</f>
        <v>52725283</v>
      </c>
      <c r="AQ29" s="81">
        <f>a!AQ29+b!AQ29+'c'!AQ29</f>
        <v>0</v>
      </c>
      <c r="AR29" s="81">
        <f>a!AR29+b!AR29+'c'!AR29</f>
        <v>0</v>
      </c>
      <c r="AS29" s="81">
        <f>a!AS29+b!AS29+'c'!AS29</f>
        <v>0</v>
      </c>
      <c r="AT29" s="81">
        <f>a!AT29+b!AT29+'c'!AT29</f>
        <v>600000</v>
      </c>
      <c r="AU29" s="81">
        <f>a!AU29+b!AU29+'c'!AU29</f>
        <v>0</v>
      </c>
      <c r="AV29" s="81">
        <f>a!AV29+b!AV29+'c'!AV29</f>
        <v>600000</v>
      </c>
      <c r="AW29" s="81">
        <f>a!AW29+b!AW29+'c'!AW29</f>
        <v>53325283</v>
      </c>
      <c r="AX29" s="81">
        <f>a!AX29+b!AX29+'c'!AX29</f>
        <v>0</v>
      </c>
      <c r="AY29" s="81">
        <f>a!AY29+b!AY29+'c'!AY29</f>
        <v>21168790</v>
      </c>
      <c r="AZ29" s="81">
        <f>a!AZ29+b!AZ29+'c'!AZ29</f>
        <v>0</v>
      </c>
      <c r="BA29" s="81">
        <f>a!BA29+b!BA29+'c'!BA29</f>
        <v>2280808</v>
      </c>
      <c r="BB29" s="81">
        <f>a!BB29+b!BB29+'c'!BB29</f>
        <v>0</v>
      </c>
      <c r="BC29" s="81">
        <f>a!BC29+b!BC29+'c'!BC29</f>
        <v>23449598</v>
      </c>
      <c r="BD29" s="81">
        <f>a!BD29+b!BD29+'c'!BD29</f>
        <v>76774881</v>
      </c>
      <c r="BE29" s="81">
        <f>a!BE29+b!BE29+'c'!BE29</f>
        <v>47825648</v>
      </c>
      <c r="BF29" s="825">
        <f t="shared" si="3"/>
        <v>62.293353473253831</v>
      </c>
    </row>
    <row r="30" spans="1:58">
      <c r="A30" s="72" t="s">
        <v>642</v>
      </c>
      <c r="B30" s="73">
        <v>1</v>
      </c>
      <c r="C30" s="74"/>
      <c r="D30" s="74"/>
      <c r="E30" s="74">
        <f>a!E30+b!E30+'c'!E30</f>
        <v>0</v>
      </c>
      <c r="F30" s="74">
        <f>a!F30+b!F30+'c'!F30</f>
        <v>0</v>
      </c>
      <c r="G30" s="74">
        <f>a!G30+b!G30+'c'!G30</f>
        <v>12036691</v>
      </c>
      <c r="H30" s="74">
        <f>a!H30+b!H30+'c'!H30</f>
        <v>0</v>
      </c>
      <c r="I30" s="74">
        <f>a!I30+b!I30+'c'!I30</f>
        <v>0</v>
      </c>
      <c r="J30" s="74">
        <f>a!J30+b!J30+'c'!J30</f>
        <v>0</v>
      </c>
      <c r="K30" s="74">
        <f>a!K30+b!K30+'c'!K30</f>
        <v>0</v>
      </c>
      <c r="L30" s="74">
        <f>a!L30+b!L30+'c'!L30</f>
        <v>12036691</v>
      </c>
      <c r="M30" s="74">
        <f>a!M30+b!M30+'c'!M30</f>
        <v>12036691</v>
      </c>
      <c r="N30" s="74">
        <f>a!N30+b!N30+'c'!N30</f>
        <v>8067810</v>
      </c>
      <c r="O30" s="74">
        <f>a!O30+b!O30+'c'!O30</f>
        <v>0</v>
      </c>
      <c r="P30" s="74">
        <f>a!P30+b!P30+'c'!P30</f>
        <v>0</v>
      </c>
      <c r="Q30" s="74">
        <f>a!Q30+b!Q30+'c'!Q30</f>
        <v>0</v>
      </c>
      <c r="R30" s="74">
        <f>a!R30+b!R30+'c'!R30</f>
        <v>0</v>
      </c>
      <c r="S30" s="74">
        <f>a!S30+b!S30+'c'!S30</f>
        <v>8067810</v>
      </c>
      <c r="T30" s="74">
        <f>a!T30+b!T30+'c'!T30</f>
        <v>20104501</v>
      </c>
      <c r="U30" s="74">
        <f>a!U30+b!U30+'c'!U30</f>
        <v>207653670</v>
      </c>
      <c r="V30" s="74">
        <f>a!V30+b!V30+'c'!V30</f>
        <v>0</v>
      </c>
      <c r="W30" s="74">
        <f>a!W30+b!W30+'c'!W30</f>
        <v>0</v>
      </c>
      <c r="X30" s="74">
        <f>a!X30+b!X30+'c'!X30</f>
        <v>0</v>
      </c>
      <c r="Y30" s="74">
        <f>a!Y30+b!Y30+'c'!Y30</f>
        <v>0</v>
      </c>
      <c r="Z30" s="74">
        <f>a!Z30+b!Z30+'c'!Z30</f>
        <v>207653670</v>
      </c>
      <c r="AA30" s="74">
        <f>a!AA30+b!AA30+'c'!AA30</f>
        <v>227758171</v>
      </c>
      <c r="AB30" s="74">
        <f>a!AB30+b!AB30+'c'!AB30</f>
        <v>227758171</v>
      </c>
      <c r="AC30" s="819">
        <f t="shared" si="0"/>
        <v>100</v>
      </c>
      <c r="AD30" s="182"/>
      <c r="AE30" s="80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824"/>
    </row>
    <row r="31" spans="1:58">
      <c r="A31" s="72" t="s">
        <v>348</v>
      </c>
      <c r="B31" s="73">
        <v>2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>
        <f>a!N31+b!N31+'c'!N31</f>
        <v>239000</v>
      </c>
      <c r="O31" s="74">
        <f>a!O31+b!O31+'c'!O31</f>
        <v>0</v>
      </c>
      <c r="P31" s="74">
        <f>a!P31+b!P31+'c'!P31</f>
        <v>0</v>
      </c>
      <c r="Q31" s="74">
        <f>a!Q31+b!Q31+'c'!Q31</f>
        <v>0</v>
      </c>
      <c r="R31" s="74">
        <f>a!R31+b!R31+'c'!R31</f>
        <v>0</v>
      </c>
      <c r="S31" s="74">
        <f>a!S31+b!S31+'c'!S31</f>
        <v>239000</v>
      </c>
      <c r="T31" s="74">
        <f>a!T31+b!T31+'c'!T31</f>
        <v>239000</v>
      </c>
      <c r="U31" s="74">
        <f>a!U31+b!U31+'c'!U31</f>
        <v>1000247428</v>
      </c>
      <c r="V31" s="74">
        <f>a!V31+b!V31+'c'!V31</f>
        <v>0</v>
      </c>
      <c r="W31" s="74">
        <f>a!W31+b!W31+'c'!W31</f>
        <v>0</v>
      </c>
      <c r="X31" s="74">
        <f>a!X31+b!X31+'c'!X31</f>
        <v>0</v>
      </c>
      <c r="Y31" s="74">
        <f>a!Y31+b!Y31+'c'!Y31</f>
        <v>0</v>
      </c>
      <c r="Z31" s="74">
        <f>a!Z31+b!Z31+'c'!Z31</f>
        <v>1000247428</v>
      </c>
      <c r="AA31" s="74">
        <f>a!AA31+b!AA31+'c'!AA31</f>
        <v>1000486428</v>
      </c>
      <c r="AB31" s="74">
        <f>a!AB31+b!AB31+'c'!AB31</f>
        <v>1000486428</v>
      </c>
      <c r="AC31" s="819">
        <f t="shared" si="0"/>
        <v>100</v>
      </c>
      <c r="AD31" s="182" t="s">
        <v>317</v>
      </c>
      <c r="AE31" s="86" t="s">
        <v>318</v>
      </c>
      <c r="AF31" s="81">
        <f>a!AF31+b!AF31+'c'!AF31</f>
        <v>0</v>
      </c>
      <c r="AG31" s="81">
        <f>a!AG31+b!AG31+'c'!AG31</f>
        <v>25500000</v>
      </c>
      <c r="AH31" s="81">
        <f>a!AH31+b!AH31+'c'!AH31</f>
        <v>25500000</v>
      </c>
      <c r="AI31" s="81">
        <f>a!AI31+b!AI31+'c'!AI31</f>
        <v>6751613</v>
      </c>
      <c r="AJ31" s="81">
        <f>a!AJ31+b!AJ31+'c'!AJ31</f>
        <v>0</v>
      </c>
      <c r="AK31" s="81">
        <f>a!AK31+b!AK31+'c'!AK31</f>
        <v>92000000</v>
      </c>
      <c r="AL31" s="81">
        <f>a!AL31+b!AL31+'c'!AL31</f>
        <v>0</v>
      </c>
      <c r="AM31" s="81">
        <f>a!AM31+b!AM31+'c'!AM31</f>
        <v>0</v>
      </c>
      <c r="AN31" s="81">
        <f>a!AN31+b!AN31+'c'!AN31</f>
        <v>0</v>
      </c>
      <c r="AO31" s="81">
        <f>a!AO31+b!AO31+'c'!AO31</f>
        <v>98751613</v>
      </c>
      <c r="AP31" s="81">
        <f>a!AP31+b!AP31+'c'!AP31</f>
        <v>124251613</v>
      </c>
      <c r="AQ31" s="81">
        <f>a!AQ31+b!AQ31+'c'!AQ31</f>
        <v>0</v>
      </c>
      <c r="AR31" s="81">
        <f>a!AR31+b!AR31+'c'!AR31</f>
        <v>0</v>
      </c>
      <c r="AS31" s="81">
        <f>a!AS31+b!AS31+'c'!AS31</f>
        <v>0</v>
      </c>
      <c r="AT31" s="81">
        <f>a!AT31+b!AT31+'c'!AT31</f>
        <v>0</v>
      </c>
      <c r="AU31" s="81">
        <f>a!AU31+b!AU31+'c'!AU31</f>
        <v>0</v>
      </c>
      <c r="AV31" s="81">
        <f>a!AV31+b!AV31+'c'!AV31</f>
        <v>0</v>
      </c>
      <c r="AW31" s="81">
        <f>a!AW31+b!AW31+'c'!AW31</f>
        <v>124251613</v>
      </c>
      <c r="AX31" s="81">
        <f>a!AX31+b!AX31+'c'!AX31</f>
        <v>0</v>
      </c>
      <c r="AY31" s="81">
        <f>a!AY31+b!AY31+'c'!AY31</f>
        <v>0</v>
      </c>
      <c r="AZ31" s="81">
        <f>a!AZ31+b!AZ31+'c'!AZ31</f>
        <v>0</v>
      </c>
      <c r="BA31" s="81">
        <f>a!BA31+b!BA31+'c'!BA31</f>
        <v>0</v>
      </c>
      <c r="BB31" s="81">
        <f>a!BB31+b!BB31+'c'!BB31</f>
        <v>0</v>
      </c>
      <c r="BC31" s="81">
        <f>a!BC31+b!BC31+'c'!BC31</f>
        <v>0</v>
      </c>
      <c r="BD31" s="81">
        <f>a!BD31+b!BD31+'c'!BD31</f>
        <v>124251613</v>
      </c>
      <c r="BE31" s="81">
        <f>a!BE31+b!BE31+'c'!BE31</f>
        <v>106310000</v>
      </c>
      <c r="BF31" s="825">
        <f t="shared" si="3"/>
        <v>85.560257475289276</v>
      </c>
    </row>
    <row r="32" spans="1:58">
      <c r="A32" s="87" t="s">
        <v>259</v>
      </c>
      <c r="B32" s="88">
        <v>1.2</v>
      </c>
      <c r="C32" s="79">
        <f>a!C32+b!C32+'c'!C32</f>
        <v>2945000489</v>
      </c>
      <c r="D32" s="79"/>
      <c r="E32" s="79">
        <f>a!E32+b!E32+'c'!E32</f>
        <v>2945000489</v>
      </c>
      <c r="F32" s="79">
        <f>a!F32+b!F32+'c'!F32</f>
        <v>0</v>
      </c>
      <c r="G32" s="79">
        <f>a!G32+b!G32+'c'!G32</f>
        <v>123596701</v>
      </c>
      <c r="H32" s="79">
        <f>a!H32+b!H32+'c'!H32</f>
        <v>0</v>
      </c>
      <c r="I32" s="79">
        <f>a!I32+b!I32+'c'!I32</f>
        <v>0</v>
      </c>
      <c r="J32" s="79">
        <f>a!J32+b!J32+'c'!J32</f>
        <v>0</v>
      </c>
      <c r="K32" s="79">
        <f>a!K32+b!K32+'c'!K32</f>
        <v>0</v>
      </c>
      <c r="L32" s="79">
        <f>a!L32+b!L32+'c'!L32</f>
        <v>123596701</v>
      </c>
      <c r="M32" s="79">
        <f>a!M32+b!M32+'c'!M32</f>
        <v>3056560499</v>
      </c>
      <c r="N32" s="79">
        <f>a!N32+b!N32+'c'!N32</f>
        <v>118437396</v>
      </c>
      <c r="O32" s="79">
        <f>a!O32+b!O32+'c'!O32</f>
        <v>0</v>
      </c>
      <c r="P32" s="79">
        <f>a!P32+b!P32+'c'!P32</f>
        <v>0</v>
      </c>
      <c r="Q32" s="79">
        <f>a!Q32+b!Q32+'c'!Q32</f>
        <v>0</v>
      </c>
      <c r="R32" s="79">
        <f>a!R32+b!R32+'c'!R32</f>
        <v>0</v>
      </c>
      <c r="S32" s="79">
        <f>a!S32+b!S32+'c'!S32</f>
        <v>118437396</v>
      </c>
      <c r="T32" s="79">
        <f>a!T32+b!T32+'c'!T32</f>
        <v>3174997895</v>
      </c>
      <c r="U32" s="79">
        <f>a!U32+b!U32+'c'!U32</f>
        <v>1253976129</v>
      </c>
      <c r="V32" s="79">
        <f>a!V32+b!V32+'c'!V32</f>
        <v>0</v>
      </c>
      <c r="W32" s="79">
        <f>a!W32+b!W32+'c'!W32</f>
        <v>0</v>
      </c>
      <c r="X32" s="79">
        <f>a!X32+b!X32+'c'!X32</f>
        <v>0</v>
      </c>
      <c r="Y32" s="79">
        <f>a!Y32+b!Y32+'c'!Y32</f>
        <v>0</v>
      </c>
      <c r="Z32" s="79">
        <f>a!Z32+b!Z32+'c'!Z32</f>
        <v>1253976129</v>
      </c>
      <c r="AA32" s="79">
        <f>a!AA32+b!AA32+'c'!AA32</f>
        <v>4428974024</v>
      </c>
      <c r="AB32" s="79">
        <f>a!AB32+b!AB32+'c'!AB32</f>
        <v>4430971988</v>
      </c>
      <c r="AC32" s="820">
        <f t="shared" si="0"/>
        <v>100.04511121512958</v>
      </c>
      <c r="AD32" s="183"/>
      <c r="AE32" s="59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824"/>
    </row>
    <row r="33" spans="1:58">
      <c r="A33" s="72" t="s">
        <v>240</v>
      </c>
      <c r="B33" s="73">
        <v>1</v>
      </c>
      <c r="C33" s="74">
        <f>a!C33+b!C33+'c'!C33</f>
        <v>455932585</v>
      </c>
      <c r="D33" s="74"/>
      <c r="E33" s="74">
        <f>a!E33+b!E33+'c'!E33</f>
        <v>455932585</v>
      </c>
      <c r="F33" s="74">
        <f>a!F33+b!F33+'c'!F33</f>
        <v>0</v>
      </c>
      <c r="G33" s="74">
        <f>a!G33+b!G33+'c'!G33</f>
        <v>0</v>
      </c>
      <c r="H33" s="74">
        <f>a!H33+b!H33+'c'!H33</f>
        <v>0</v>
      </c>
      <c r="I33" s="74">
        <f>a!I33+b!I33+'c'!I33</f>
        <v>38425200</v>
      </c>
      <c r="J33" s="74">
        <f>a!J33+b!J33+'c'!J33</f>
        <v>0</v>
      </c>
      <c r="K33" s="74">
        <f>a!K33+b!K33+'c'!K33</f>
        <v>0</v>
      </c>
      <c r="L33" s="74">
        <f>a!L33+b!L33+'c'!L33</f>
        <v>38425200</v>
      </c>
      <c r="M33" s="74">
        <f>a!M33+b!M33+'c'!M33</f>
        <v>494357785</v>
      </c>
      <c r="N33" s="74">
        <f>a!N33+b!N33+'c'!N33</f>
        <v>0</v>
      </c>
      <c r="O33" s="74">
        <f>a!O33+b!O33+'c'!O33</f>
        <v>0</v>
      </c>
      <c r="P33" s="74">
        <f>a!P33+b!P33+'c'!P33</f>
        <v>32745350</v>
      </c>
      <c r="Q33" s="74">
        <f>a!Q33+b!Q33+'c'!Q33</f>
        <v>0</v>
      </c>
      <c r="R33" s="74">
        <f>a!R33+b!R33+'c'!R33</f>
        <v>0</v>
      </c>
      <c r="S33" s="74">
        <f>a!S33+b!S33+'c'!S33</f>
        <v>32745350</v>
      </c>
      <c r="T33" s="74">
        <f>a!T33+b!T33+'c'!T33</f>
        <v>527103135</v>
      </c>
      <c r="U33" s="74">
        <f>a!U33+b!U33+'c'!U33</f>
        <v>0</v>
      </c>
      <c r="V33" s="74">
        <f>a!V33+b!V33+'c'!V33</f>
        <v>0</v>
      </c>
      <c r="W33" s="74">
        <f>a!W33+b!W33+'c'!W33</f>
        <v>-17203053</v>
      </c>
      <c r="X33" s="74">
        <f>a!X33+b!X33+'c'!X33</f>
        <v>0</v>
      </c>
      <c r="Y33" s="74">
        <f>a!Y33+b!Y33+'c'!Y33</f>
        <v>0</v>
      </c>
      <c r="Z33" s="74">
        <f>a!Z33+b!Z33+'c'!Z33</f>
        <v>-17203053</v>
      </c>
      <c r="AA33" s="74">
        <f>a!AA33+b!AA33+'c'!AA33</f>
        <v>509900082</v>
      </c>
      <c r="AB33" s="74">
        <f>a!AB33+b!AB33+'c'!AB33</f>
        <v>509900082</v>
      </c>
      <c r="AC33" s="819">
        <f t="shared" si="0"/>
        <v>100</v>
      </c>
      <c r="AD33" s="179"/>
      <c r="AE33" s="58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824"/>
    </row>
    <row r="34" spans="1:58">
      <c r="A34" s="72" t="s">
        <v>241</v>
      </c>
      <c r="B34" s="73">
        <v>1</v>
      </c>
      <c r="C34" s="74">
        <f>a!C34+b!C34+'c'!C34</f>
        <v>1114766770</v>
      </c>
      <c r="D34" s="74"/>
      <c r="E34" s="74">
        <f>a!E34+b!E34+'c'!E34</f>
        <v>1114766770</v>
      </c>
      <c r="F34" s="74">
        <f>a!F34+b!F34+'c'!F34</f>
        <v>0</v>
      </c>
      <c r="G34" s="74">
        <f>a!G34+b!G34+'c'!G34</f>
        <v>0</v>
      </c>
      <c r="H34" s="74">
        <f>a!H34+b!H34+'c'!H34</f>
        <v>0</v>
      </c>
      <c r="I34" s="74">
        <f>a!I34+b!I34+'c'!I34</f>
        <v>19542591</v>
      </c>
      <c r="J34" s="74">
        <f>a!J34+b!J34+'c'!J34</f>
        <v>0</v>
      </c>
      <c r="K34" s="74">
        <f>a!K34+b!K34+'c'!K34</f>
        <v>0</v>
      </c>
      <c r="L34" s="74">
        <f>a!L34+b!L34+'c'!L34</f>
        <v>19542591</v>
      </c>
      <c r="M34" s="74">
        <f>a!M34+b!M34+'c'!M34</f>
        <v>1134309361</v>
      </c>
      <c r="N34" s="74">
        <f>a!N34+b!N34+'c'!N34</f>
        <v>0</v>
      </c>
      <c r="O34" s="74">
        <f>a!O34+b!O34+'c'!O34</f>
        <v>0</v>
      </c>
      <c r="P34" s="74">
        <f>a!P34+b!P34+'c'!P34</f>
        <v>21399731</v>
      </c>
      <c r="Q34" s="74">
        <f>a!Q34+b!Q34+'c'!Q34</f>
        <v>0</v>
      </c>
      <c r="R34" s="74">
        <f>a!R34+b!R34+'c'!R34</f>
        <v>0</v>
      </c>
      <c r="S34" s="74">
        <f>a!S34+b!S34+'c'!S34</f>
        <v>21399731</v>
      </c>
      <c r="T34" s="74">
        <f>a!T34+b!T34+'c'!T34</f>
        <v>1155709092</v>
      </c>
      <c r="U34" s="74">
        <f>a!U34+b!U34+'c'!U34</f>
        <v>0</v>
      </c>
      <c r="V34" s="74">
        <f>a!V34+b!V34+'c'!V34</f>
        <v>0</v>
      </c>
      <c r="W34" s="74">
        <f>a!W34+b!W34+'c'!W34</f>
        <v>-110715518</v>
      </c>
      <c r="X34" s="74">
        <f>a!X34+b!X34+'c'!X34</f>
        <v>0</v>
      </c>
      <c r="Y34" s="74">
        <f>a!Y34+b!Y34+'c'!Y34</f>
        <v>0</v>
      </c>
      <c r="Z34" s="74">
        <f>a!Z34+b!Z34+'c'!Z34</f>
        <v>-110715518</v>
      </c>
      <c r="AA34" s="74">
        <f>a!AA34+b!AA34+'c'!AA34</f>
        <v>1044993574</v>
      </c>
      <c r="AB34" s="74">
        <f>a!AB34+b!AB34+'c'!AB34</f>
        <v>1044993574</v>
      </c>
      <c r="AC34" s="819">
        <f t="shared" si="0"/>
        <v>100</v>
      </c>
      <c r="AD34" s="182" t="s">
        <v>12</v>
      </c>
      <c r="AE34" s="80">
        <v>5</v>
      </c>
      <c r="AF34" s="81">
        <f>a!AF34+b!AF34+'c'!AF34</f>
        <v>326258909</v>
      </c>
      <c r="AG34" s="81">
        <f>a!AG34+b!AG34+'c'!AG34</f>
        <v>701562838</v>
      </c>
      <c r="AH34" s="81">
        <f>a!AH34+b!AH34+'c'!AH34</f>
        <v>1027821747</v>
      </c>
      <c r="AI34" s="81">
        <f>a!AI34+b!AI34+'c'!AI34</f>
        <v>192864619</v>
      </c>
      <c r="AJ34" s="81">
        <f>a!AJ34+b!AJ34+'c'!AJ34</f>
        <v>110324521</v>
      </c>
      <c r="AK34" s="81">
        <f>a!AK34+b!AK34+'c'!AK34</f>
        <v>-81479136</v>
      </c>
      <c r="AL34" s="81">
        <f>a!AL34+b!AL34+'c'!AL34</f>
        <v>4526466</v>
      </c>
      <c r="AM34" s="81">
        <f>a!AM34+b!AM34+'c'!AM34</f>
        <v>-152619701</v>
      </c>
      <c r="AN34" s="81">
        <f>a!AN34+b!AN34+'c'!AN34</f>
        <v>0</v>
      </c>
      <c r="AO34" s="81">
        <f>a!AO34+b!AO34+'c'!AO34</f>
        <v>73616769</v>
      </c>
      <c r="AP34" s="81">
        <f>a!AP34+b!AP34+'c'!AP34</f>
        <v>1101438516</v>
      </c>
      <c r="AQ34" s="81">
        <f>a!AQ34+b!AQ34+'c'!AQ34</f>
        <v>100193714</v>
      </c>
      <c r="AR34" s="81">
        <f>a!AR34+b!AR34+'c'!AR34</f>
        <v>-61045243</v>
      </c>
      <c r="AS34" s="81">
        <f>a!AS34+b!AS34+'c'!AS34</f>
        <v>0</v>
      </c>
      <c r="AT34" s="81">
        <f>a!AT34+b!AT34+'c'!AT34</f>
        <v>-271374670</v>
      </c>
      <c r="AU34" s="81">
        <f>a!AU34+b!AU34+'c'!AU34</f>
        <v>0</v>
      </c>
      <c r="AV34" s="81">
        <f>a!AV34+b!AV34+'c'!AV34</f>
        <v>-232226199</v>
      </c>
      <c r="AW34" s="81">
        <f>a!AW34+b!AW34+'c'!AW34</f>
        <v>869212317</v>
      </c>
      <c r="AX34" s="81">
        <f>a!AX34+b!AX34+'c'!AX34</f>
        <v>50327197</v>
      </c>
      <c r="AY34" s="81">
        <f>a!AY34+b!AY34+'c'!AY34</f>
        <v>-62668822</v>
      </c>
      <c r="AZ34" s="81">
        <f>a!AZ34+b!AZ34+'c'!AZ34</f>
        <v>0</v>
      </c>
      <c r="BA34" s="81">
        <f>a!BA34+b!BA34+'c'!BA34</f>
        <v>-245151024</v>
      </c>
      <c r="BB34" s="81">
        <f>a!BB34+b!BB34+'c'!BB34</f>
        <v>0</v>
      </c>
      <c r="BC34" s="81">
        <f>a!BC34+b!BC34+'c'!BC34</f>
        <v>-257492649</v>
      </c>
      <c r="BD34" s="81">
        <f>a!BD34+b!BD34+'c'!BD34</f>
        <v>611719668</v>
      </c>
      <c r="BE34" s="81">
        <f>a!BE34+b!BE34+'c'!BE34</f>
        <v>0</v>
      </c>
      <c r="BF34" s="825">
        <f t="shared" si="3"/>
        <v>0</v>
      </c>
    </row>
    <row r="35" spans="1:58">
      <c r="A35" s="72" t="s">
        <v>242</v>
      </c>
      <c r="B35" s="73">
        <v>2</v>
      </c>
      <c r="C35" s="74"/>
      <c r="D35" s="74">
        <f>a!D35+b!D35+'c'!D35</f>
        <v>2412149740</v>
      </c>
      <c r="E35" s="74">
        <f>a!E35+b!E35+'c'!E35</f>
        <v>2412149740</v>
      </c>
      <c r="F35" s="74">
        <f>a!F35+b!F35+'c'!F35</f>
        <v>0</v>
      </c>
      <c r="G35" s="74">
        <f>a!G35+b!G35+'c'!G35</f>
        <v>0</v>
      </c>
      <c r="H35" s="74">
        <f>a!H35+b!H35+'c'!H35</f>
        <v>0</v>
      </c>
      <c r="I35" s="74">
        <f>a!I35+b!I35+'c'!I35</f>
        <v>1500000</v>
      </c>
      <c r="J35" s="74">
        <f>a!J35+b!J35+'c'!J35</f>
        <v>0</v>
      </c>
      <c r="K35" s="74">
        <f>a!K35+b!K35+'c'!K35</f>
        <v>0</v>
      </c>
      <c r="L35" s="74">
        <f>a!L35+b!L35+'c'!L35</f>
        <v>1500000</v>
      </c>
      <c r="M35" s="74">
        <f>a!M35+b!M35+'c'!M35</f>
        <v>2413649740</v>
      </c>
      <c r="N35" s="74">
        <f>a!N35+b!N35+'c'!N35</f>
        <v>0</v>
      </c>
      <c r="O35" s="74">
        <f>a!O35+b!O35+'c'!O35</f>
        <v>0</v>
      </c>
      <c r="P35" s="74">
        <f>a!P35+b!P35+'c'!P35</f>
        <v>5515638</v>
      </c>
      <c r="Q35" s="74">
        <f>a!Q35+b!Q35+'c'!Q35</f>
        <v>0</v>
      </c>
      <c r="R35" s="74">
        <f>a!R35+b!R35+'c'!R35</f>
        <v>0</v>
      </c>
      <c r="S35" s="74">
        <f>a!S35+b!S35+'c'!S35</f>
        <v>5515638</v>
      </c>
      <c r="T35" s="74">
        <f>a!T35+b!T35+'c'!T35</f>
        <v>2419165378</v>
      </c>
      <c r="U35" s="74">
        <f>a!U35+b!U35+'c'!U35</f>
        <v>0</v>
      </c>
      <c r="V35" s="74">
        <f>a!V35+b!V35+'c'!V35</f>
        <v>0</v>
      </c>
      <c r="W35" s="74">
        <f>a!W35+b!W35+'c'!W35</f>
        <v>-904113913</v>
      </c>
      <c r="X35" s="74">
        <f>a!X35+b!X35+'c'!X35</f>
        <v>0</v>
      </c>
      <c r="Y35" s="74">
        <f>a!Y35+b!Y35+'c'!Y35</f>
        <v>0</v>
      </c>
      <c r="Z35" s="74">
        <f>a!Z35+b!Z35+'c'!Z35</f>
        <v>-904113913</v>
      </c>
      <c r="AA35" s="74">
        <f>a!AA35+b!AA35+'c'!AA35</f>
        <v>1515051465</v>
      </c>
      <c r="AB35" s="74">
        <f>a!AB35+b!AB35+'c'!AB35</f>
        <v>1515051465</v>
      </c>
      <c r="AC35" s="819">
        <f t="shared" si="0"/>
        <v>100</v>
      </c>
      <c r="AD35" s="182"/>
      <c r="AE35" s="80"/>
      <c r="AF35" s="81">
        <f>a!AF35+b!AF35+'c'!AF35</f>
        <v>0</v>
      </c>
      <c r="AG35" s="81">
        <f>a!AG35+b!AG35+'c'!AG35</f>
        <v>0</v>
      </c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24"/>
    </row>
    <row r="36" spans="1:58">
      <c r="A36" s="72" t="s">
        <v>243</v>
      </c>
      <c r="B36" s="73">
        <v>2</v>
      </c>
      <c r="C36" s="74"/>
      <c r="D36" s="74">
        <f>a!D36+b!D36+'c'!D36</f>
        <v>3252364000</v>
      </c>
      <c r="E36" s="74">
        <f>a!E36+b!E36+'c'!E36</f>
        <v>3252364000</v>
      </c>
      <c r="F36" s="74">
        <f>a!F36+b!F36+'c'!F36</f>
        <v>0</v>
      </c>
      <c r="G36" s="74">
        <f>a!G36+b!G36+'c'!G36</f>
        <v>0</v>
      </c>
      <c r="H36" s="74">
        <f>a!H36+b!H36+'c'!H36</f>
        <v>0</v>
      </c>
      <c r="I36" s="74">
        <f>a!I36+b!I36+'c'!I36</f>
        <v>0</v>
      </c>
      <c r="J36" s="74">
        <f>a!J36+b!J36+'c'!J36</f>
        <v>0</v>
      </c>
      <c r="K36" s="74">
        <f>a!K36+b!K36+'c'!K36</f>
        <v>0</v>
      </c>
      <c r="L36" s="74">
        <f>a!L36+b!L36+'c'!L36</f>
        <v>0</v>
      </c>
      <c r="M36" s="74">
        <f>a!M36+b!M36+'c'!M36</f>
        <v>3252364000</v>
      </c>
      <c r="N36" s="74">
        <f>a!N36+b!N36+'c'!N36</f>
        <v>0</v>
      </c>
      <c r="O36" s="74">
        <f>a!O36+b!O36+'c'!O36</f>
        <v>0</v>
      </c>
      <c r="P36" s="74">
        <f>a!P36+b!P36+'c'!P36</f>
        <v>0</v>
      </c>
      <c r="Q36" s="74">
        <f>a!Q36+b!Q36+'c'!Q36</f>
        <v>0</v>
      </c>
      <c r="R36" s="74">
        <f>a!R36+b!R36+'c'!R36</f>
        <v>0</v>
      </c>
      <c r="S36" s="74">
        <f>a!S36+b!S36+'c'!S36</f>
        <v>0</v>
      </c>
      <c r="T36" s="74">
        <f>a!T36+b!T36+'c'!T36</f>
        <v>3252364000</v>
      </c>
      <c r="U36" s="74">
        <f>a!U36+b!U36+'c'!U36</f>
        <v>0</v>
      </c>
      <c r="V36" s="74">
        <f>a!V36+b!V36+'c'!V36</f>
        <v>0</v>
      </c>
      <c r="W36" s="74">
        <f>a!W36+b!W36+'c'!W36</f>
        <v>122508000</v>
      </c>
      <c r="X36" s="74">
        <f>a!X36+b!X36+'c'!X36</f>
        <v>0</v>
      </c>
      <c r="Y36" s="74">
        <f>a!Y36+b!Y36+'c'!Y36</f>
        <v>0</v>
      </c>
      <c r="Z36" s="74">
        <f>a!Z36+b!Z36+'c'!Z36</f>
        <v>122508000</v>
      </c>
      <c r="AA36" s="74">
        <f>a!AA36+b!AA36+'c'!AA36</f>
        <v>3374872000</v>
      </c>
      <c r="AB36" s="74">
        <f>a!AB36+b!AB36+'c'!AB36</f>
        <v>3374872000</v>
      </c>
      <c r="AC36" s="819">
        <f t="shared" si="0"/>
        <v>100</v>
      </c>
      <c r="AD36" s="182" t="s">
        <v>529</v>
      </c>
      <c r="AE36" s="80">
        <v>5</v>
      </c>
      <c r="AF36" s="81">
        <f>a!AF36+b!AF36+'c'!AF36</f>
        <v>1521910</v>
      </c>
      <c r="AG36" s="81">
        <f>a!AG36+b!AG36+'c'!AG36</f>
        <v>0</v>
      </c>
      <c r="AH36" s="81">
        <f>a!AH36+b!AH36+'c'!AH36</f>
        <v>1521910</v>
      </c>
      <c r="AI36" s="81">
        <f>a!AI36+b!AI36+'c'!AI36</f>
        <v>17767862</v>
      </c>
      <c r="AJ36" s="81">
        <f>a!AJ36+b!AJ36+'c'!AJ36</f>
        <v>0</v>
      </c>
      <c r="AK36" s="81">
        <f>a!AK36+b!AK36+'c'!AK36</f>
        <v>0</v>
      </c>
      <c r="AL36" s="81">
        <f>a!AL36+b!AL36+'c'!AL36</f>
        <v>0</v>
      </c>
      <c r="AM36" s="81">
        <f>a!AM36+b!AM36+'c'!AM36</f>
        <v>227000</v>
      </c>
      <c r="AN36" s="81">
        <f>a!AN36+b!AN36+'c'!AN36</f>
        <v>0</v>
      </c>
      <c r="AO36" s="81">
        <f>a!AO36+b!AO36+'c'!AO36</f>
        <v>17994862</v>
      </c>
      <c r="AP36" s="81">
        <f>a!AP36+b!AP36+'c'!AP36</f>
        <v>19516772</v>
      </c>
      <c r="AQ36" s="81">
        <f>a!AQ36+b!AQ36+'c'!AQ36</f>
        <v>0</v>
      </c>
      <c r="AR36" s="81">
        <f>a!AR36+b!AR36+'c'!AR36</f>
        <v>0</v>
      </c>
      <c r="AS36" s="81">
        <f>a!AS36+b!AS36+'c'!AS36</f>
        <v>0</v>
      </c>
      <c r="AT36" s="81">
        <f>a!AT36+b!AT36+'c'!AT36</f>
        <v>0</v>
      </c>
      <c r="AU36" s="81">
        <f>a!AU36+b!AU36+'c'!AU36</f>
        <v>0</v>
      </c>
      <c r="AV36" s="81">
        <f>a!AV36+b!AV36+'c'!AV36</f>
        <v>0</v>
      </c>
      <c r="AW36" s="81">
        <f>a!AW36+b!AW36+'c'!AW36</f>
        <v>19516772</v>
      </c>
      <c r="AX36" s="81">
        <f>a!AX36+b!AX36+'c'!AX36</f>
        <v>0</v>
      </c>
      <c r="AY36" s="81">
        <f>a!AY36+b!AY36+'c'!AY36</f>
        <v>0</v>
      </c>
      <c r="AZ36" s="81">
        <f>a!AZ36+b!AZ36+'c'!AZ36</f>
        <v>0</v>
      </c>
      <c r="BA36" s="81">
        <f>a!BA36+b!BA36+'c'!BA36</f>
        <v>68</v>
      </c>
      <c r="BB36" s="81">
        <f>a!BB36+b!BB36+'c'!BB36</f>
        <v>0</v>
      </c>
      <c r="BC36" s="81">
        <f>a!BC36+b!BC36+'c'!BC36</f>
        <v>68</v>
      </c>
      <c r="BD36" s="81">
        <f>a!BD36+b!BD36+'c'!BD36</f>
        <v>19516840</v>
      </c>
      <c r="BE36" s="81">
        <f>a!BE36+b!BE36+'c'!BE36</f>
        <v>19516840</v>
      </c>
      <c r="BF36" s="825">
        <f t="shared" si="3"/>
        <v>100</v>
      </c>
    </row>
    <row r="37" spans="1:58">
      <c r="A37" s="77" t="s">
        <v>349</v>
      </c>
      <c r="B37" s="78"/>
      <c r="C37" s="79">
        <f>SUM(C33:C36)</f>
        <v>1570699355</v>
      </c>
      <c r="D37" s="79">
        <f>SUM(D33:D36)</f>
        <v>5664513740</v>
      </c>
      <c r="E37" s="79">
        <f>SUM(E33:E36)</f>
        <v>7235213095</v>
      </c>
      <c r="F37" s="79">
        <f t="shared" ref="F37:M37" si="4">SUM(F33:F36)</f>
        <v>0</v>
      </c>
      <c r="G37" s="79">
        <f t="shared" si="4"/>
        <v>0</v>
      </c>
      <c r="H37" s="79">
        <f t="shared" si="4"/>
        <v>0</v>
      </c>
      <c r="I37" s="79">
        <f t="shared" si="4"/>
        <v>59467791</v>
      </c>
      <c r="J37" s="79">
        <f t="shared" si="4"/>
        <v>0</v>
      </c>
      <c r="K37" s="79">
        <f t="shared" si="4"/>
        <v>0</v>
      </c>
      <c r="L37" s="79">
        <f t="shared" si="4"/>
        <v>59467791</v>
      </c>
      <c r="M37" s="79">
        <f t="shared" si="4"/>
        <v>7294680886</v>
      </c>
      <c r="N37" s="79">
        <f>a!N37+b!N37+'c'!N37</f>
        <v>0</v>
      </c>
      <c r="O37" s="79">
        <f>a!O37+b!O37+'c'!O37</f>
        <v>0</v>
      </c>
      <c r="P37" s="79">
        <f>a!P37+b!P37+'c'!P37</f>
        <v>59660719</v>
      </c>
      <c r="Q37" s="79">
        <f>a!Q37+b!Q37+'c'!Q37</f>
        <v>0</v>
      </c>
      <c r="R37" s="79">
        <f>a!R37+b!R37+'c'!R37</f>
        <v>0</v>
      </c>
      <c r="S37" s="79">
        <f>a!S37+b!S37+'c'!S37</f>
        <v>59660719</v>
      </c>
      <c r="T37" s="79">
        <f>a!T37+b!T37+'c'!T37</f>
        <v>7354341605</v>
      </c>
      <c r="U37" s="79">
        <f>a!U37+b!U37+'c'!U37</f>
        <v>0</v>
      </c>
      <c r="V37" s="79">
        <f>a!V37+b!V37+'c'!V37</f>
        <v>0</v>
      </c>
      <c r="W37" s="79">
        <f>a!W37+b!W37+'c'!W37</f>
        <v>-909524484</v>
      </c>
      <c r="X37" s="79">
        <f>a!X37+b!X37+'c'!X37</f>
        <v>0</v>
      </c>
      <c r="Y37" s="79">
        <f>a!Y37+b!Y37+'c'!Y37</f>
        <v>0</v>
      </c>
      <c r="Z37" s="79">
        <f>a!Z37+b!Z37+'c'!Z37</f>
        <v>-909524484</v>
      </c>
      <c r="AA37" s="79">
        <f>a!AA37+b!AA37+'c'!AA37</f>
        <v>6444817121</v>
      </c>
      <c r="AB37" s="79">
        <f>a!AB37+b!AB37+'c'!AB37</f>
        <v>6444817121</v>
      </c>
      <c r="AC37" s="820">
        <f t="shared" si="0"/>
        <v>100</v>
      </c>
      <c r="AD37" s="182"/>
      <c r="AE37" s="80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824"/>
    </row>
    <row r="38" spans="1:58">
      <c r="A38" s="72" t="s">
        <v>244</v>
      </c>
      <c r="B38" s="73">
        <v>6</v>
      </c>
      <c r="C38" s="74">
        <f>a!C38+b!C38+'c'!C38</f>
        <v>0</v>
      </c>
      <c r="D38" s="74"/>
      <c r="E38" s="74">
        <f>a!E38+b!E38+'c'!E38</f>
        <v>0</v>
      </c>
      <c r="F38" s="74">
        <f>a!F38+b!F38+'c'!F38</f>
        <v>0</v>
      </c>
      <c r="G38" s="74">
        <f>a!G38+b!G38+'c'!G38</f>
        <v>0</v>
      </c>
      <c r="H38" s="74">
        <f>a!H38+b!H38+'c'!H38</f>
        <v>0</v>
      </c>
      <c r="I38" s="74">
        <f>a!I38+b!I38+'c'!I38</f>
        <v>0</v>
      </c>
      <c r="J38" s="74">
        <f>a!J38+b!J38+'c'!J38</f>
        <v>0</v>
      </c>
      <c r="K38" s="74">
        <f>a!K38+b!K38+'c'!K38</f>
        <v>0</v>
      </c>
      <c r="L38" s="74">
        <f>a!L38+b!L38+'c'!L38</f>
        <v>0</v>
      </c>
      <c r="M38" s="74">
        <f>a!M38+b!M38+'c'!M38</f>
        <v>0</v>
      </c>
      <c r="N38" s="74">
        <f>a!N38+b!N38+'c'!N38</f>
        <v>0</v>
      </c>
      <c r="O38" s="74">
        <f>a!O38+b!O38+'c'!O38</f>
        <v>0</v>
      </c>
      <c r="P38" s="74">
        <f>a!P38+b!P38+'c'!P38</f>
        <v>0</v>
      </c>
      <c r="Q38" s="74">
        <f>a!Q38+b!Q38+'c'!Q38</f>
        <v>0</v>
      </c>
      <c r="R38" s="74">
        <f>a!R38+b!R38+'c'!R38</f>
        <v>0</v>
      </c>
      <c r="S38" s="74">
        <f>a!S38+b!S38+'c'!S38</f>
        <v>0</v>
      </c>
      <c r="T38" s="74">
        <f>a!T38+b!T38+'c'!T38</f>
        <v>0</v>
      </c>
      <c r="U38" s="74">
        <f>a!U38+b!U38+'c'!U38</f>
        <v>0</v>
      </c>
      <c r="V38" s="74">
        <f>a!V38+b!V38+'c'!V38</f>
        <v>0</v>
      </c>
      <c r="W38" s="74">
        <f>a!W38+b!W38+'c'!W38</f>
        <v>0</v>
      </c>
      <c r="X38" s="74">
        <f>a!X38+b!X38+'c'!X38</f>
        <v>0</v>
      </c>
      <c r="Y38" s="74">
        <f>a!Y38+b!Y38+'c'!Y38</f>
        <v>0</v>
      </c>
      <c r="Z38" s="74">
        <f>a!Z38+b!Z38+'c'!Z38</f>
        <v>0</v>
      </c>
      <c r="AA38" s="74">
        <f>a!AA38+b!AA38+'c'!AA38</f>
        <v>0</v>
      </c>
      <c r="AB38" s="74">
        <f>a!AB38+b!AB38+'c'!AB38</f>
        <v>0</v>
      </c>
      <c r="AC38" s="819"/>
      <c r="AD38" s="182"/>
      <c r="AE38" s="80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824"/>
    </row>
    <row r="39" spans="1:58">
      <c r="A39" s="72" t="s">
        <v>245</v>
      </c>
      <c r="B39" s="73">
        <v>6</v>
      </c>
      <c r="C39" s="74">
        <f>a!C39+b!C39+'c'!C39</f>
        <v>0</v>
      </c>
      <c r="D39" s="74">
        <f>a!D39+b!D39+'c'!D39</f>
        <v>0</v>
      </c>
      <c r="E39" s="74">
        <f>a!E39+b!E39+'c'!E39</f>
        <v>0</v>
      </c>
      <c r="F39" s="74">
        <f>a!F39+b!F39+'c'!F39</f>
        <v>0</v>
      </c>
      <c r="G39" s="74">
        <f>a!G39+b!G39+'c'!G39</f>
        <v>0</v>
      </c>
      <c r="H39" s="74">
        <f>a!H39+b!H39+'c'!H39</f>
        <v>0</v>
      </c>
      <c r="I39" s="74">
        <f>a!I39+b!I39+'c'!I39</f>
        <v>30000</v>
      </c>
      <c r="J39" s="74">
        <f>a!J39+b!J39+'c'!J39</f>
        <v>0</v>
      </c>
      <c r="K39" s="74">
        <f>a!K39+b!K39+'c'!K39</f>
        <v>0</v>
      </c>
      <c r="L39" s="74">
        <f>a!L39+b!L39+'c'!L39</f>
        <v>30000</v>
      </c>
      <c r="M39" s="74">
        <f>a!M39+b!M39+'c'!M39</f>
        <v>30000</v>
      </c>
      <c r="N39" s="74">
        <f>a!N39+b!N39+'c'!N39</f>
        <v>0</v>
      </c>
      <c r="O39" s="74">
        <f>a!O39+b!O39+'c'!O39</f>
        <v>0</v>
      </c>
      <c r="P39" s="74">
        <f>a!P39+b!P39+'c'!P39</f>
        <v>238960</v>
      </c>
      <c r="Q39" s="74">
        <f>a!Q39+b!Q39+'c'!Q39</f>
        <v>0</v>
      </c>
      <c r="R39" s="74">
        <f>a!R39+b!R39+'c'!R39</f>
        <v>0</v>
      </c>
      <c r="S39" s="74">
        <f>a!S39+b!S39+'c'!S39</f>
        <v>238960</v>
      </c>
      <c r="T39" s="74">
        <f>a!T39+b!T39+'c'!T39</f>
        <v>268960</v>
      </c>
      <c r="U39" s="74">
        <f>a!U39+b!U39+'c'!U39</f>
        <v>0</v>
      </c>
      <c r="V39" s="74">
        <f>a!V39+b!V39+'c'!V39</f>
        <v>0</v>
      </c>
      <c r="W39" s="74">
        <f>a!W39+b!W39+'c'!W39</f>
        <v>200000</v>
      </c>
      <c r="X39" s="74">
        <f>a!X39+b!X39+'c'!X39</f>
        <v>0</v>
      </c>
      <c r="Y39" s="74">
        <f>a!Y39+b!Y39+'c'!Y39</f>
        <v>0</v>
      </c>
      <c r="Z39" s="74">
        <f>a!Z39+b!Z39+'c'!Z39</f>
        <v>200000</v>
      </c>
      <c r="AA39" s="74">
        <f>a!AA39+b!AA39+'c'!AA39</f>
        <v>468960</v>
      </c>
      <c r="AB39" s="74">
        <f>a!AB39+b!AB39+'c'!AB39</f>
        <v>462360</v>
      </c>
      <c r="AC39" s="819">
        <f t="shared" si="0"/>
        <v>98.592630501535311</v>
      </c>
      <c r="AD39" s="182"/>
      <c r="AE39" s="80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824"/>
    </row>
    <row r="40" spans="1:58">
      <c r="A40" s="72" t="s">
        <v>247</v>
      </c>
      <c r="B40" s="73">
        <v>7</v>
      </c>
      <c r="C40" s="74">
        <f>a!C40+b!C40+'c'!C40</f>
        <v>0</v>
      </c>
      <c r="D40" s="74">
        <f>a!D40+b!D40+'c'!D40</f>
        <v>0</v>
      </c>
      <c r="E40" s="74">
        <f>a!E40+b!E40+'c'!E40</f>
        <v>0</v>
      </c>
      <c r="F40" s="74">
        <f>a!F40+b!F40+'c'!F40</f>
        <v>0</v>
      </c>
      <c r="G40" s="74">
        <f>a!G40+b!G40+'c'!G40</f>
        <v>0</v>
      </c>
      <c r="H40" s="74">
        <f>a!H40+b!H40+'c'!H40</f>
        <v>0</v>
      </c>
      <c r="I40" s="74">
        <f>a!I40+b!I40+'c'!I40</f>
        <v>0</v>
      </c>
      <c r="J40" s="74">
        <f>a!J40+b!J40+'c'!J40</f>
        <v>0</v>
      </c>
      <c r="K40" s="74">
        <f>a!K40+b!K40+'c'!K40</f>
        <v>0</v>
      </c>
      <c r="L40" s="74">
        <f>a!L40+b!L40+'c'!L40</f>
        <v>0</v>
      </c>
      <c r="M40" s="74">
        <f>a!M40+b!M40+'c'!M40</f>
        <v>0</v>
      </c>
      <c r="N40" s="74">
        <f>a!N40+b!N40+'c'!N40</f>
        <v>0</v>
      </c>
      <c r="O40" s="74">
        <f>a!O40+b!O40+'c'!O40</f>
        <v>0</v>
      </c>
      <c r="P40" s="74">
        <f>a!P40+b!P40+'c'!P40</f>
        <v>0</v>
      </c>
      <c r="Q40" s="74">
        <f>a!Q40+b!Q40+'c'!Q40</f>
        <v>0</v>
      </c>
      <c r="R40" s="74">
        <f>a!R40+b!R40+'c'!R40</f>
        <v>0</v>
      </c>
      <c r="S40" s="74">
        <f>a!S40+b!S40+'c'!S40</f>
        <v>0</v>
      </c>
      <c r="T40" s="74">
        <f>a!T40+b!T40+'c'!T40</f>
        <v>0</v>
      </c>
      <c r="U40" s="74">
        <f>a!U40+b!U40+'c'!U40</f>
        <v>0</v>
      </c>
      <c r="V40" s="74">
        <f>a!V40+b!V40+'c'!V40</f>
        <v>0</v>
      </c>
      <c r="W40" s="74">
        <f>a!W40+b!W40+'c'!W40</f>
        <v>0</v>
      </c>
      <c r="X40" s="74">
        <f>a!X40+b!X40+'c'!X40</f>
        <v>0</v>
      </c>
      <c r="Y40" s="74">
        <f>a!Y40+b!Y40+'c'!Y40</f>
        <v>0</v>
      </c>
      <c r="Z40" s="74">
        <f>a!Z40+b!Z40+'c'!Z40</f>
        <v>0</v>
      </c>
      <c r="AA40" s="74">
        <f>a!AA40+b!AA40+'c'!AA40</f>
        <v>0</v>
      </c>
      <c r="AB40" s="74">
        <f>a!AB40+b!AB40+'c'!AB40</f>
        <v>0</v>
      </c>
      <c r="AC40" s="819"/>
      <c r="AD40" s="182"/>
      <c r="AE40" s="80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824"/>
    </row>
    <row r="41" spans="1:58">
      <c r="A41" s="72" t="s">
        <v>246</v>
      </c>
      <c r="B41" s="73">
        <v>7</v>
      </c>
      <c r="C41" s="74">
        <f>a!C41+b!C41+'c'!C41</f>
        <v>0</v>
      </c>
      <c r="D41" s="74">
        <f>a!D41+b!D41+'c'!D41</f>
        <v>0</v>
      </c>
      <c r="E41" s="74">
        <f>a!E41+b!E41+'c'!E41</f>
        <v>0</v>
      </c>
      <c r="F41" s="74">
        <f>a!F41+b!F41+'c'!F41</f>
        <v>0</v>
      </c>
      <c r="G41" s="74">
        <f>a!G41+b!G41+'c'!G41</f>
        <v>0</v>
      </c>
      <c r="H41" s="74">
        <f>a!H41+b!H41+'c'!H41</f>
        <v>0</v>
      </c>
      <c r="I41" s="74">
        <f>a!I41+b!I41+'c'!I41</f>
        <v>686340</v>
      </c>
      <c r="J41" s="74">
        <f>a!J41+b!J41+'c'!J41</f>
        <v>0</v>
      </c>
      <c r="K41" s="74">
        <f>a!K41+b!K41+'c'!K41</f>
        <v>0</v>
      </c>
      <c r="L41" s="74">
        <f>a!L41+b!L41+'c'!L41</f>
        <v>686340</v>
      </c>
      <c r="M41" s="74">
        <f>a!M41+b!M41+'c'!M41</f>
        <v>686340</v>
      </c>
      <c r="N41" s="74">
        <f>a!N41+b!N41+'c'!N41</f>
        <v>0</v>
      </c>
      <c r="O41" s="74">
        <f>a!O41+b!O41+'c'!O41</f>
        <v>0</v>
      </c>
      <c r="P41" s="74">
        <f>a!P41+b!P41+'c'!P41</f>
        <v>0</v>
      </c>
      <c r="Q41" s="74">
        <f>a!Q41+b!Q41+'c'!Q41</f>
        <v>0</v>
      </c>
      <c r="R41" s="74">
        <f>a!R41+b!R41+'c'!R41</f>
        <v>0</v>
      </c>
      <c r="S41" s="74">
        <f>a!S41+b!S41+'c'!S41</f>
        <v>0</v>
      </c>
      <c r="T41" s="74">
        <f>a!T41+b!T41+'c'!T41</f>
        <v>686340</v>
      </c>
      <c r="U41" s="74">
        <f>a!U41+b!U41+'c'!U41</f>
        <v>0</v>
      </c>
      <c r="V41" s="74">
        <f>a!V41+b!V41+'c'!V41</f>
        <v>0</v>
      </c>
      <c r="W41" s="74">
        <f>a!W41+b!W41+'c'!W41</f>
        <v>600000</v>
      </c>
      <c r="X41" s="74">
        <f>a!X41+b!X41+'c'!X41</f>
        <v>0</v>
      </c>
      <c r="Y41" s="74">
        <f>a!Y41+b!Y41+'c'!Y41</f>
        <v>0</v>
      </c>
      <c r="Z41" s="74">
        <f>a!Z41+b!Z41+'c'!Z41</f>
        <v>600000</v>
      </c>
      <c r="AA41" s="74">
        <f>a!AA41+b!AA41+'c'!AA41</f>
        <v>1286340</v>
      </c>
      <c r="AB41" s="74">
        <f>a!AB41+b!AB41+'c'!AB41</f>
        <v>1286340</v>
      </c>
      <c r="AC41" s="819">
        <f t="shared" si="0"/>
        <v>100</v>
      </c>
      <c r="AD41" s="182"/>
      <c r="AE41" s="80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824"/>
    </row>
    <row r="42" spans="1:58">
      <c r="A42" s="77" t="s">
        <v>263</v>
      </c>
      <c r="B42" s="78"/>
      <c r="C42" s="79">
        <f>SUM(C38:C41)</f>
        <v>0</v>
      </c>
      <c r="D42" s="79">
        <f>SUM(D38:D41)</f>
        <v>0</v>
      </c>
      <c r="E42" s="79">
        <f>SUM(E38:E41)</f>
        <v>0</v>
      </c>
      <c r="F42" s="79">
        <f t="shared" ref="F42:M42" si="5">SUM(F38:F41)</f>
        <v>0</v>
      </c>
      <c r="G42" s="79">
        <f t="shared" si="5"/>
        <v>0</v>
      </c>
      <c r="H42" s="79">
        <f t="shared" si="5"/>
        <v>0</v>
      </c>
      <c r="I42" s="79">
        <f t="shared" si="5"/>
        <v>716340</v>
      </c>
      <c r="J42" s="79">
        <f t="shared" si="5"/>
        <v>0</v>
      </c>
      <c r="K42" s="79">
        <f t="shared" si="5"/>
        <v>0</v>
      </c>
      <c r="L42" s="79">
        <f t="shared" si="5"/>
        <v>716340</v>
      </c>
      <c r="M42" s="79">
        <f t="shared" si="5"/>
        <v>716340</v>
      </c>
      <c r="N42" s="79">
        <f>a!N42+b!N42+'c'!N42</f>
        <v>0</v>
      </c>
      <c r="O42" s="79">
        <f>a!O42+b!O42+'c'!O42</f>
        <v>0</v>
      </c>
      <c r="P42" s="79">
        <f>a!P42+b!P42+'c'!P42</f>
        <v>238960</v>
      </c>
      <c r="Q42" s="79">
        <f>a!Q42+b!Q42+'c'!Q42</f>
        <v>0</v>
      </c>
      <c r="R42" s="79">
        <f>a!R42+b!R42+'c'!R42</f>
        <v>0</v>
      </c>
      <c r="S42" s="79">
        <f>a!S42+b!S42+'c'!S42</f>
        <v>238960</v>
      </c>
      <c r="T42" s="79">
        <f>a!T42+b!T42+'c'!T42</f>
        <v>955300</v>
      </c>
      <c r="U42" s="79">
        <f>a!U42+b!U42+'c'!U42</f>
        <v>0</v>
      </c>
      <c r="V42" s="79">
        <f>a!V42+b!V42+'c'!V42</f>
        <v>0</v>
      </c>
      <c r="W42" s="79">
        <f>a!W42+b!W42+'c'!W42</f>
        <v>800000</v>
      </c>
      <c r="X42" s="79">
        <f>a!X42+b!X42+'c'!X42</f>
        <v>0</v>
      </c>
      <c r="Y42" s="79">
        <f>a!Y42+b!Y42+'c'!Y42</f>
        <v>0</v>
      </c>
      <c r="Z42" s="79">
        <f>a!Z42+b!Z42+'c'!Z42</f>
        <v>800000</v>
      </c>
      <c r="AA42" s="79">
        <f>a!AA42+b!AA42+'c'!AA42</f>
        <v>1755300</v>
      </c>
      <c r="AB42" s="79">
        <f>a!AB42+b!AB42+'c'!AB42</f>
        <v>1748700</v>
      </c>
      <c r="AC42" s="820">
        <f t="shared" si="0"/>
        <v>99.623995898137068</v>
      </c>
      <c r="AD42" s="179"/>
      <c r="AE42" s="58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824"/>
    </row>
    <row r="43" spans="1:58">
      <c r="A43" s="77" t="s">
        <v>148</v>
      </c>
      <c r="B43" s="89" t="s">
        <v>320</v>
      </c>
      <c r="C43" s="79">
        <f>a!C43+b!C43+'c'!C43</f>
        <v>0</v>
      </c>
      <c r="D43" s="79">
        <f>a!D43+b!D43+'c'!D43</f>
        <v>24000000</v>
      </c>
      <c r="E43" s="79">
        <f>a!E43+b!E43+'c'!E43</f>
        <v>24000000</v>
      </c>
      <c r="F43" s="79">
        <f>a!F43+b!F43+'c'!F43</f>
        <v>0</v>
      </c>
      <c r="G43" s="79">
        <f>a!G43+b!G43+'c'!G43</f>
        <v>0</v>
      </c>
      <c r="H43" s="79">
        <f>a!H43+b!H43+'c'!H43</f>
        <v>92000000</v>
      </c>
      <c r="I43" s="79">
        <f>a!I43+b!I43+'c'!I43</f>
        <v>0</v>
      </c>
      <c r="J43" s="79">
        <f>a!J43+b!J43+'c'!J43</f>
        <v>0</v>
      </c>
      <c r="K43" s="79">
        <f>a!K43+b!K43+'c'!K43</f>
        <v>0</v>
      </c>
      <c r="L43" s="79">
        <f>a!L43+b!L43+'c'!L43</f>
        <v>92000000</v>
      </c>
      <c r="M43" s="79">
        <f>a!M43+b!M43+'c'!M43</f>
        <v>116000000</v>
      </c>
      <c r="N43" s="79">
        <f>a!N43+b!N43+'c'!N43</f>
        <v>0</v>
      </c>
      <c r="O43" s="79">
        <f>a!O43+b!O43+'c'!O43</f>
        <v>0</v>
      </c>
      <c r="P43" s="79">
        <f>a!P43+b!P43+'c'!P43</f>
        <v>0</v>
      </c>
      <c r="Q43" s="79">
        <f>a!Q43+b!Q43+'c'!Q43</f>
        <v>0</v>
      </c>
      <c r="R43" s="79">
        <f>a!R43+b!R43+'c'!R43</f>
        <v>0</v>
      </c>
      <c r="S43" s="79">
        <f>a!S43+b!S43+'c'!S43</f>
        <v>0</v>
      </c>
      <c r="T43" s="79">
        <f>a!T43+b!T43+'c'!T43</f>
        <v>116000000</v>
      </c>
      <c r="U43" s="79">
        <f>a!U43+b!U43+'c'!U43</f>
        <v>0</v>
      </c>
      <c r="V43" s="79">
        <f>a!V43+b!V43+'c'!V43</f>
        <v>0</v>
      </c>
      <c r="W43" s="79">
        <f>a!W43+b!W43+'c'!W43</f>
        <v>0</v>
      </c>
      <c r="X43" s="79">
        <f>a!X43+b!X43+'c'!X43</f>
        <v>0</v>
      </c>
      <c r="Y43" s="79">
        <f>a!Y43+b!Y43+'c'!Y43</f>
        <v>0</v>
      </c>
      <c r="Z43" s="79">
        <f>a!Z43+b!Z43+'c'!Z43</f>
        <v>0</v>
      </c>
      <c r="AA43" s="79">
        <f>a!AA43+b!AA43+'c'!AA43</f>
        <v>116000000</v>
      </c>
      <c r="AB43" s="79">
        <f>a!AB43+b!AB43+'c'!AB43</f>
        <v>118768579</v>
      </c>
      <c r="AC43" s="820">
        <f t="shared" si="0"/>
        <v>102.38670603448277</v>
      </c>
      <c r="AD43" s="179"/>
      <c r="AE43" s="58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24"/>
    </row>
    <row r="44" spans="1:58">
      <c r="A44" s="90" t="s">
        <v>150</v>
      </c>
      <c r="B44" s="91"/>
      <c r="C44" s="79">
        <f>a!C44+b!C44+'c'!C44</f>
        <v>12307509881</v>
      </c>
      <c r="D44" s="79">
        <f>a!D44+b!D44+'c'!D44</f>
        <v>6208334305</v>
      </c>
      <c r="E44" s="79">
        <f>a!E44+b!E44+'c'!E44</f>
        <v>18515844186</v>
      </c>
      <c r="F44" s="79">
        <f>a!F44+b!F44+'c'!F44</f>
        <v>845615066</v>
      </c>
      <c r="G44" s="79">
        <f>a!G44+b!G44+'c'!G44</f>
        <v>123596701</v>
      </c>
      <c r="H44" s="79">
        <f>a!H44+b!H44+'c'!H44</f>
        <v>241930314</v>
      </c>
      <c r="I44" s="79">
        <f>a!I44+b!I44+'c'!I44</f>
        <v>60184131</v>
      </c>
      <c r="J44" s="79">
        <f>a!J44+b!J44+'c'!J44</f>
        <v>0</v>
      </c>
      <c r="K44" s="79">
        <f>a!K44+b!K44+'c'!K44</f>
        <v>240651215</v>
      </c>
      <c r="L44" s="79">
        <f>a!L44+b!L44+'c'!L44</f>
        <v>1511977427</v>
      </c>
      <c r="M44" s="79">
        <f>a!M44+b!M44+'c'!M44</f>
        <v>20015784922</v>
      </c>
      <c r="N44" s="79">
        <f>a!N44+b!N44+'c'!N44</f>
        <v>118437396</v>
      </c>
      <c r="O44" s="79">
        <f>a!O44+b!O44+'c'!O44</f>
        <v>7764832</v>
      </c>
      <c r="P44" s="79">
        <f>a!P44+b!P44+'c'!P44</f>
        <v>59899679</v>
      </c>
      <c r="Q44" s="79">
        <f>a!Q44+b!Q44+'c'!Q44</f>
        <v>0</v>
      </c>
      <c r="R44" s="79">
        <f>a!R44+b!R44+'c'!R44</f>
        <v>216382412</v>
      </c>
      <c r="S44" s="79">
        <f>a!S44+b!S44+'c'!S44</f>
        <v>402484319</v>
      </c>
      <c r="T44" s="79">
        <f>a!T44+b!T44+'c'!T44</f>
        <v>20418269241</v>
      </c>
      <c r="U44" s="79">
        <f>a!U44+b!U44+'c'!U44</f>
        <v>1253976129</v>
      </c>
      <c r="V44" s="79">
        <f>a!V44+b!V44+'c'!V44</f>
        <v>170586824</v>
      </c>
      <c r="W44" s="79">
        <f>a!W44+b!W44+'c'!W44</f>
        <v>-908724484</v>
      </c>
      <c r="X44" s="79">
        <f>a!X44+b!X44+'c'!X44</f>
        <v>2749177</v>
      </c>
      <c r="Y44" s="79">
        <f>a!Y44+b!Y44+'c'!Y44</f>
        <v>84221942</v>
      </c>
      <c r="Z44" s="79">
        <f>a!Z44+b!Z44+'c'!Z44</f>
        <v>602809588</v>
      </c>
      <c r="AA44" s="79">
        <f>a!AA44+b!AA44+'c'!AA44</f>
        <v>21021078829</v>
      </c>
      <c r="AB44" s="79">
        <f>a!AB44+b!AB44+'c'!AB44</f>
        <v>21250131506</v>
      </c>
      <c r="AC44" s="820">
        <f t="shared" si="0"/>
        <v>101.08963330979952</v>
      </c>
      <c r="AD44" s="184" t="s">
        <v>184</v>
      </c>
      <c r="AE44" s="92"/>
      <c r="AF44" s="79">
        <f>a!AF44+b!AF44+'c'!AF44</f>
        <v>13879505932.5</v>
      </c>
      <c r="AG44" s="79">
        <f>a!AG44+b!AG44+'c'!AG44</f>
        <v>23823742811</v>
      </c>
      <c r="AH44" s="79">
        <f>a!AH44+b!AH44+'c'!AH44</f>
        <v>37522863172</v>
      </c>
      <c r="AI44" s="79">
        <f>a!AI44+b!AI44+'c'!AI44</f>
        <v>2008216460</v>
      </c>
      <c r="AJ44" s="79">
        <f>a!AJ44+b!AJ44+'c'!AJ44</f>
        <v>111560010</v>
      </c>
      <c r="AK44" s="79">
        <f>a!AK44+b!AK44+'c'!AK44</f>
        <v>241930314</v>
      </c>
      <c r="AL44" s="79">
        <f>a!AL44+b!AL44+'c'!AL44</f>
        <v>60184131</v>
      </c>
      <c r="AM44" s="79">
        <f>a!AM44+b!AM44+'c'!AM44</f>
        <v>0</v>
      </c>
      <c r="AN44" s="79">
        <f>a!AN44+b!AN44+'c'!AN44</f>
        <v>240651215</v>
      </c>
      <c r="AO44" s="79">
        <f>a!AO44+b!AO44+'c'!AO44</f>
        <v>2662542130</v>
      </c>
      <c r="AP44" s="79">
        <f>a!AP44+b!AP44+'c'!AP44</f>
        <v>40184226062</v>
      </c>
      <c r="AQ44" s="79">
        <f>a!AQ44+b!AQ44+'c'!AQ44</f>
        <v>118437396</v>
      </c>
      <c r="AR44" s="79">
        <f>a!AR44+b!AR44+'c'!AR44</f>
        <v>7764832</v>
      </c>
      <c r="AS44" s="79">
        <f>a!AS44+b!AS44+'c'!AS44</f>
        <v>59899679</v>
      </c>
      <c r="AT44" s="79">
        <f>a!AT44+b!AT44+'c'!AT44</f>
        <v>2460000</v>
      </c>
      <c r="AU44" s="79">
        <f>a!AU44+b!AU44+'c'!AU44</f>
        <v>216382412</v>
      </c>
      <c r="AV44" s="79">
        <f>a!AV44+b!AV44+'c'!AV44</f>
        <v>404944319</v>
      </c>
      <c r="AW44" s="79">
        <f>a!AW44+b!AW44+'c'!AW44</f>
        <v>40586710381</v>
      </c>
      <c r="AX44" s="79">
        <f>a!AX44+b!AX44+'c'!AX44</f>
        <v>1253976129</v>
      </c>
      <c r="AY44" s="79">
        <f>a!AY44+b!AY44+'c'!AY44</f>
        <v>-5285062436</v>
      </c>
      <c r="AZ44" s="79">
        <f>a!AZ44+b!AZ44+'c'!AZ44</f>
        <v>-908724484</v>
      </c>
      <c r="BA44" s="79">
        <f>a!BA44+b!BA44+'c'!BA44</f>
        <v>2749177</v>
      </c>
      <c r="BB44" s="79">
        <f>a!BB44+b!BB44+'c'!BB44</f>
        <v>84221942</v>
      </c>
      <c r="BC44" s="79">
        <f>a!BC44+b!BC44+'c'!BC44</f>
        <v>-4852839672</v>
      </c>
      <c r="BD44" s="79">
        <f>a!BD44+b!BD44+'c'!BD44</f>
        <v>35733870709</v>
      </c>
      <c r="BE44" s="79">
        <f>a!BE44+b!BE44+'c'!BE44</f>
        <v>15901163251</v>
      </c>
      <c r="BF44" s="825">
        <f t="shared" si="3"/>
        <v>44.498854827375595</v>
      </c>
    </row>
    <row r="45" spans="1:58">
      <c r="A45" s="72" t="s">
        <v>260</v>
      </c>
      <c r="B45" s="73">
        <v>8</v>
      </c>
      <c r="C45" s="74">
        <f>a!C45+b!C45+'c'!C45</f>
        <v>0</v>
      </c>
      <c r="D45" s="74">
        <f>a!D45+b!D45+'c'!D45</f>
        <v>667617405</v>
      </c>
      <c r="E45" s="74">
        <f>a!E45+b!E45+'c'!E45</f>
        <v>667617405</v>
      </c>
      <c r="F45" s="74">
        <f>a!F45+b!F45+'c'!F45</f>
        <v>0</v>
      </c>
      <c r="G45" s="74">
        <f>a!G45+b!G45+'c'!G45</f>
        <v>0</v>
      </c>
      <c r="H45" s="74">
        <f>a!H45+b!H45+'c'!H45</f>
        <v>0</v>
      </c>
      <c r="I45" s="74">
        <f>a!I45+b!I45+'c'!I45</f>
        <v>0</v>
      </c>
      <c r="J45" s="74">
        <f>a!J45+b!J45+'c'!J45</f>
        <v>0</v>
      </c>
      <c r="K45" s="74">
        <f>a!K45+b!K45+'c'!K45</f>
        <v>0</v>
      </c>
      <c r="L45" s="74">
        <f>a!L45+b!L45+'c'!L45</f>
        <v>0</v>
      </c>
      <c r="M45" s="74">
        <f>a!M45+b!M45+'c'!M45</f>
        <v>667617405</v>
      </c>
      <c r="N45" s="74">
        <f>a!N45+b!N45+'c'!N45</f>
        <v>0</v>
      </c>
      <c r="O45" s="74">
        <f>a!O45+b!O45+'c'!O45</f>
        <v>0</v>
      </c>
      <c r="P45" s="74">
        <f>a!P45+b!P45+'c'!P45</f>
        <v>0</v>
      </c>
      <c r="Q45" s="74">
        <f>a!Q45+b!Q45+'c'!Q45</f>
        <v>0</v>
      </c>
      <c r="R45" s="74">
        <f>a!R45+b!R45+'c'!R45</f>
        <v>0</v>
      </c>
      <c r="S45" s="74">
        <f>a!S45+b!S45+'c'!S45</f>
        <v>0</v>
      </c>
      <c r="T45" s="74">
        <f>a!T45+b!T45+'c'!T45</f>
        <v>667617405</v>
      </c>
      <c r="U45" s="74">
        <f>a!U45+b!U45+'c'!U45</f>
        <v>0</v>
      </c>
      <c r="V45" s="74">
        <f>a!V45+b!V45+'c'!V45</f>
        <v>0</v>
      </c>
      <c r="W45" s="74">
        <f>a!W45+b!W45+'c'!W45</f>
        <v>0</v>
      </c>
      <c r="X45" s="74">
        <f>a!X45+b!X45+'c'!X45</f>
        <v>0</v>
      </c>
      <c r="Y45" s="74">
        <f>a!Y45+b!Y45+'c'!Y45</f>
        <v>0</v>
      </c>
      <c r="Z45" s="74">
        <f>a!Z45+b!Z45+'c'!Z45</f>
        <v>0</v>
      </c>
      <c r="AA45" s="74">
        <f>a!AA45+b!AA45+'c'!AA45</f>
        <v>667617405</v>
      </c>
      <c r="AB45" s="74">
        <f>a!AB45+b!AB45+'c'!AB45</f>
        <v>479376864</v>
      </c>
      <c r="AC45" s="819">
        <f t="shared" si="0"/>
        <v>71.804129192827133</v>
      </c>
      <c r="AD45" s="179"/>
      <c r="AE45" s="58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79"/>
      <c r="BB45" s="79"/>
      <c r="BC45" s="79"/>
      <c r="BD45" s="79"/>
      <c r="BE45" s="79"/>
      <c r="BF45" s="825"/>
    </row>
    <row r="46" spans="1:58">
      <c r="A46" s="72" t="s">
        <v>149</v>
      </c>
      <c r="B46" s="73">
        <v>8</v>
      </c>
      <c r="C46" s="74">
        <f>a!C46+b!C46+'c'!C46</f>
        <v>1368499685</v>
      </c>
      <c r="D46" s="74">
        <f>a!D46+b!D46+'c'!D46</f>
        <v>13297072395</v>
      </c>
      <c r="E46" s="74">
        <f>a!E46+b!E46+'c'!E46</f>
        <v>14665572080</v>
      </c>
      <c r="F46" s="74">
        <f>a!F46+b!F46+'c'!F46</f>
        <v>0</v>
      </c>
      <c r="G46" s="74">
        <f>a!G46+b!G46+'c'!G46</f>
        <v>0</v>
      </c>
      <c r="H46" s="74">
        <f>a!H46+b!H46+'c'!H46</f>
        <v>0</v>
      </c>
      <c r="I46" s="74">
        <f>a!I46+b!I46+'c'!I46</f>
        <v>0</v>
      </c>
      <c r="J46" s="74">
        <f>a!J46+b!J46+'c'!J46</f>
        <v>0</v>
      </c>
      <c r="K46" s="74">
        <f>a!K46+b!K46+'c'!K46</f>
        <v>0</v>
      </c>
      <c r="L46" s="74">
        <f>a!L46+b!L46+'c'!L46</f>
        <v>0</v>
      </c>
      <c r="M46" s="74">
        <f>a!M46+b!M46+'c'!M46</f>
        <v>14665572080</v>
      </c>
      <c r="N46" s="74">
        <f>a!N46+b!N46+'c'!N46</f>
        <v>0</v>
      </c>
      <c r="O46" s="74">
        <f>a!O46+b!O46+'c'!O46</f>
        <v>0</v>
      </c>
      <c r="P46" s="74">
        <f>a!P46+b!P46+'c'!P46</f>
        <v>0</v>
      </c>
      <c r="Q46" s="74">
        <f>a!Q46+b!Q46+'c'!Q46</f>
        <v>0</v>
      </c>
      <c r="R46" s="74">
        <f>a!R46+b!R46+'c'!R46</f>
        <v>0</v>
      </c>
      <c r="S46" s="74">
        <f>a!S46+b!S46+'c'!S46</f>
        <v>0</v>
      </c>
      <c r="T46" s="74">
        <f>a!T46+b!T46+'c'!T46</f>
        <v>14665572080</v>
      </c>
      <c r="U46" s="74">
        <f>a!U46+b!U46+'c'!U46</f>
        <v>0</v>
      </c>
      <c r="V46" s="74">
        <f>a!V46+b!V46+'c'!V46</f>
        <v>0</v>
      </c>
      <c r="W46" s="74">
        <f>a!W46+b!W46+'c'!W46</f>
        <v>0</v>
      </c>
      <c r="X46" s="74">
        <f>a!X46+b!X46+'c'!X46</f>
        <v>0</v>
      </c>
      <c r="Y46" s="74">
        <f>a!Y46+b!Y46+'c'!Y46</f>
        <v>0</v>
      </c>
      <c r="Z46" s="74">
        <f>a!Z46+b!Z46+'c'!Z46</f>
        <v>0</v>
      </c>
      <c r="AA46" s="74">
        <f>a!AA46+b!AA46+'c'!AA46</f>
        <v>14665572080</v>
      </c>
      <c r="AB46" s="74">
        <f>a!AB46+b!AB46+'c'!AB46</f>
        <v>14665572080</v>
      </c>
      <c r="AC46" s="819">
        <f t="shared" si="0"/>
        <v>100</v>
      </c>
      <c r="AD46" s="182" t="s">
        <v>371</v>
      </c>
      <c r="AE46" s="80">
        <v>9</v>
      </c>
      <c r="AF46" s="79"/>
      <c r="AG46" s="79">
        <f>a!AG46+b!AG46+'c'!AG46</f>
        <v>227660800</v>
      </c>
      <c r="AH46" s="79">
        <f>a!AH46+b!AH46+'c'!AH46</f>
        <v>227660800</v>
      </c>
      <c r="AI46" s="79">
        <f>a!AI46+b!AI46+'c'!AI46</f>
        <v>52065200</v>
      </c>
      <c r="AJ46" s="79">
        <f>a!AJ46+b!AJ46+'c'!AJ46</f>
        <v>0</v>
      </c>
      <c r="AK46" s="79">
        <f>a!AK46+b!AK46+'c'!AK46</f>
        <v>0</v>
      </c>
      <c r="AL46" s="79">
        <f>a!AL46+b!AL46+'c'!AL46</f>
        <v>0</v>
      </c>
      <c r="AM46" s="79">
        <f>a!AM46+b!AM46+'c'!AM46</f>
        <v>0</v>
      </c>
      <c r="AN46" s="79">
        <f>a!AN46+b!AN46+'c'!AN46</f>
        <v>0</v>
      </c>
      <c r="AO46" s="79">
        <f>a!AO46+b!AO46+'c'!AO46</f>
        <v>52065200</v>
      </c>
      <c r="AP46" s="79">
        <f>a!AP46+b!AP46+'c'!AP46</f>
        <v>279726000</v>
      </c>
      <c r="AQ46" s="79">
        <f>a!AQ46+b!AQ46+'c'!AQ46</f>
        <v>0</v>
      </c>
      <c r="AR46" s="79">
        <f>a!AR46+b!AR46+'c'!AR46</f>
        <v>0</v>
      </c>
      <c r="AS46" s="79">
        <f>a!AS46+b!AS46+'c'!AS46</f>
        <v>0</v>
      </c>
      <c r="AT46" s="79">
        <f>a!AT46+b!AT46+'c'!AT46</f>
        <v>0</v>
      </c>
      <c r="AU46" s="79">
        <f>a!AU46+b!AU46+'c'!AU46</f>
        <v>0</v>
      </c>
      <c r="AV46" s="79">
        <f>a!AV46+b!AV46+'c'!AV46</f>
        <v>0</v>
      </c>
      <c r="AW46" s="79">
        <f>a!AW46+b!AW46+'c'!AW46</f>
        <v>279726000</v>
      </c>
      <c r="AX46" s="79">
        <f>a!AX46+b!AX46+'c'!AX46</f>
        <v>0</v>
      </c>
      <c r="AY46" s="79">
        <f>a!AY46+b!AY46+'c'!AY46</f>
        <v>0</v>
      </c>
      <c r="AZ46" s="79">
        <f>a!AZ46+b!AZ46+'c'!AZ46</f>
        <v>0</v>
      </c>
      <c r="BA46" s="79">
        <f>a!BA46+b!BA46+'c'!BA46</f>
        <v>0</v>
      </c>
      <c r="BB46" s="79">
        <f>a!BB46+b!BB46+'c'!BB46</f>
        <v>0</v>
      </c>
      <c r="BC46" s="79">
        <f>a!BC46+b!BC46+'c'!BC46</f>
        <v>0</v>
      </c>
      <c r="BD46" s="79">
        <f>a!BD46+b!BD46+'c'!BD46</f>
        <v>279726000</v>
      </c>
      <c r="BE46" s="79">
        <f>a!BE46+b!BE46+'c'!BE46</f>
        <v>208260800</v>
      </c>
      <c r="BF46" s="825">
        <f t="shared" si="3"/>
        <v>74.451713462459693</v>
      </c>
    </row>
    <row r="47" spans="1:58">
      <c r="A47" s="72" t="s">
        <v>594</v>
      </c>
      <c r="B47" s="73">
        <v>8</v>
      </c>
      <c r="C47" s="74">
        <f>a!C48+b!C48+'c'!C48</f>
        <v>5600000000</v>
      </c>
      <c r="D47" s="74">
        <f>a!D48+b!D48+'c'!D48</f>
        <v>0</v>
      </c>
      <c r="E47" s="74">
        <f>a!E47+b!E47+'c'!E47</f>
        <v>0</v>
      </c>
      <c r="F47" s="74">
        <f>a!F47+b!F47+'c'!F47</f>
        <v>1213487354</v>
      </c>
      <c r="G47" s="74">
        <f>a!G47+b!G47+'c'!G47</f>
        <v>0</v>
      </c>
      <c r="H47" s="74">
        <f>a!H47+b!H47+'c'!H47</f>
        <v>0</v>
      </c>
      <c r="I47" s="74">
        <f>a!I47+b!I47+'c'!I47</f>
        <v>0</v>
      </c>
      <c r="J47" s="74">
        <f>a!J47+b!J47+'c'!J47</f>
        <v>0</v>
      </c>
      <c r="K47" s="74">
        <f>a!K47+b!K47+'c'!K47</f>
        <v>0</v>
      </c>
      <c r="L47" s="74">
        <f>a!L47+b!L47+'c'!L47</f>
        <v>1213487354</v>
      </c>
      <c r="M47" s="74">
        <f>a!M47+b!M47+'c'!M47</f>
        <v>1213487354</v>
      </c>
      <c r="N47" s="74">
        <f>a!N47+b!N47+'c'!N47</f>
        <v>0</v>
      </c>
      <c r="O47" s="74">
        <f>a!O47+b!O47+'c'!O47</f>
        <v>0</v>
      </c>
      <c r="P47" s="74">
        <f>a!P47+b!P47+'c'!P47</f>
        <v>0</v>
      </c>
      <c r="Q47" s="74">
        <f>a!Q47+b!Q47+'c'!Q47</f>
        <v>0</v>
      </c>
      <c r="R47" s="74">
        <f>a!R47+b!R47+'c'!R47</f>
        <v>0</v>
      </c>
      <c r="S47" s="74">
        <f>a!S47+b!S47+'c'!S47</f>
        <v>0</v>
      </c>
      <c r="T47" s="74">
        <f>a!T47+b!T47+'c'!T47</f>
        <v>1213487354</v>
      </c>
      <c r="U47" s="74">
        <f>a!U47+b!U47+'c'!U47</f>
        <v>0</v>
      </c>
      <c r="V47" s="74">
        <f>a!V47+b!V47+'c'!V47</f>
        <v>0</v>
      </c>
      <c r="W47" s="74">
        <f>a!W47+b!W47+'c'!W47</f>
        <v>0</v>
      </c>
      <c r="X47" s="74">
        <f>a!X47+b!X47+'c'!X47</f>
        <v>0</v>
      </c>
      <c r="Y47" s="74">
        <f>a!Y47+b!Y47+'c'!Y47</f>
        <v>0</v>
      </c>
      <c r="Z47" s="74">
        <f>a!Z47+b!Z47+'c'!Z47</f>
        <v>0</v>
      </c>
      <c r="AA47" s="74">
        <f>a!AA47+b!AA47+'c'!AA47</f>
        <v>1213487354</v>
      </c>
      <c r="AB47" s="74">
        <f>a!AB47+b!AB47+'c'!AB47</f>
        <v>1213487354</v>
      </c>
      <c r="AC47" s="819">
        <f t="shared" si="0"/>
        <v>100</v>
      </c>
      <c r="AD47" s="182"/>
      <c r="AE47" s="80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825"/>
    </row>
    <row r="48" spans="1:58">
      <c r="A48" s="72" t="s">
        <v>380</v>
      </c>
      <c r="B48" s="73">
        <v>8</v>
      </c>
      <c r="C48" s="74">
        <f>a!C48+b!C48+'c'!C48</f>
        <v>5600000000</v>
      </c>
      <c r="D48" s="74">
        <f>a!D48+b!D48+'c'!D48</f>
        <v>0</v>
      </c>
      <c r="E48" s="74">
        <f>a!E48+b!E48+'c'!E48</f>
        <v>5600000000</v>
      </c>
      <c r="F48" s="74">
        <f>a!F48+b!F48+'c'!F48</f>
        <v>0</v>
      </c>
      <c r="G48" s="74">
        <f>a!G48+b!G48+'c'!G48</f>
        <v>0</v>
      </c>
      <c r="H48" s="74">
        <f>a!H48+b!H48+'c'!H48</f>
        <v>0</v>
      </c>
      <c r="I48" s="74">
        <f>a!I48+b!I48+'c'!I48</f>
        <v>0</v>
      </c>
      <c r="J48" s="74">
        <f>a!J48+b!J48+'c'!J48</f>
        <v>6950069686</v>
      </c>
      <c r="K48" s="74">
        <f>a!K48+b!K48+'c'!K48</f>
        <v>0</v>
      </c>
      <c r="L48" s="74">
        <f>a!L48+b!L48+'c'!L48</f>
        <v>6950069686</v>
      </c>
      <c r="M48" s="74">
        <f>a!M48+b!M48+'c'!M48</f>
        <v>12550069686</v>
      </c>
      <c r="N48" s="74">
        <f>a!N48+b!N48+'c'!N48</f>
        <v>0</v>
      </c>
      <c r="O48" s="74">
        <f>a!O48+b!O48+'c'!O48</f>
        <v>0</v>
      </c>
      <c r="P48" s="74">
        <f>a!P48+b!P48+'c'!P48</f>
        <v>0</v>
      </c>
      <c r="Q48" s="74">
        <f>a!Q48+b!Q48+'c'!Q48</f>
        <v>1200000000</v>
      </c>
      <c r="R48" s="74">
        <f>a!R48+b!R48+'c'!R48</f>
        <v>0</v>
      </c>
      <c r="S48" s="74">
        <f>a!S48+b!S48+'c'!S48</f>
        <v>1200000000</v>
      </c>
      <c r="T48" s="74">
        <f>a!T48+b!T48+'c'!T48</f>
        <v>13750069686</v>
      </c>
      <c r="U48" s="74">
        <f>a!U48+b!U48+'c'!U48</f>
        <v>88615106</v>
      </c>
      <c r="V48" s="74">
        <f>a!V48+b!V48+'c'!V48</f>
        <v>-5455649260</v>
      </c>
      <c r="W48" s="74">
        <f>a!W48+b!W48+'c'!W48</f>
        <v>0</v>
      </c>
      <c r="X48" s="74">
        <f>a!X48+b!X48+'c'!X48</f>
        <v>300000000</v>
      </c>
      <c r="Y48" s="74">
        <f>a!Y48+b!Y48+'c'!Y48</f>
        <v>0</v>
      </c>
      <c r="Z48" s="74">
        <f>a!Z48+b!Z48+'c'!Z48</f>
        <v>-5067034154</v>
      </c>
      <c r="AA48" s="74">
        <f>a!AA48+b!AA48+'c'!AA48</f>
        <v>8683035532</v>
      </c>
      <c r="AB48" s="74">
        <f>a!AB48+b!AB48+'c'!AB48</f>
        <v>8683035532</v>
      </c>
      <c r="AC48" s="819">
        <f t="shared" si="0"/>
        <v>100</v>
      </c>
      <c r="AD48" s="182" t="s">
        <v>381</v>
      </c>
      <c r="AE48" s="80">
        <v>9</v>
      </c>
      <c r="AF48" s="79">
        <f>a!AF48+b!AF48+'c'!AF48</f>
        <v>1698509699</v>
      </c>
      <c r="AG48" s="79"/>
      <c r="AH48" s="79">
        <f>a!AH48+b!AH48+'c'!AH48</f>
        <v>1698509699</v>
      </c>
      <c r="AI48" s="79">
        <f>a!AI48+b!AI48+'c'!AI48</f>
        <v>0</v>
      </c>
      <c r="AJ48" s="79">
        <f>a!AJ48+b!AJ48+'c'!AJ48</f>
        <v>0</v>
      </c>
      <c r="AK48" s="79">
        <f>a!AK48+b!AK48+'c'!AK48</f>
        <v>0</v>
      </c>
      <c r="AL48" s="79">
        <f>a!AL48+b!AL48+'c'!AL48</f>
        <v>0</v>
      </c>
      <c r="AM48" s="79">
        <f>a!AM48+b!AM48+'c'!AM48</f>
        <v>6950069686</v>
      </c>
      <c r="AN48" s="79">
        <f>a!AN48+b!AN48+'c'!AN48</f>
        <v>0</v>
      </c>
      <c r="AO48" s="79">
        <f>a!AO48+b!AO48+'c'!AO48</f>
        <v>6950069686</v>
      </c>
      <c r="AP48" s="79">
        <f>a!AP48+b!AP48+'c'!AP48</f>
        <v>8648579385</v>
      </c>
      <c r="AQ48" s="79">
        <f>a!AQ48+b!AQ48+'c'!AQ48</f>
        <v>0</v>
      </c>
      <c r="AR48" s="79">
        <f>a!AR48+b!AR48+'c'!AR48</f>
        <v>0</v>
      </c>
      <c r="AS48" s="79">
        <f>a!AS48+b!AS48+'c'!AS48</f>
        <v>0</v>
      </c>
      <c r="AT48" s="79">
        <f>a!AT48+b!AT48+'c'!AT48</f>
        <v>1200000000</v>
      </c>
      <c r="AU48" s="79">
        <f>a!AU48+b!AU48+'c'!AU48</f>
        <v>0</v>
      </c>
      <c r="AV48" s="79">
        <f>a!AV48+b!AV48+'c'!AV48</f>
        <v>1200000000</v>
      </c>
      <c r="AW48" s="79">
        <f>a!AW48+b!AW48+'c'!AW48</f>
        <v>9848579385</v>
      </c>
      <c r="AX48" s="79">
        <f>a!AX48+b!AX48+'c'!AX48</f>
        <v>88615106</v>
      </c>
      <c r="AY48" s="79">
        <f>a!AY48+b!AY48+'c'!AY48</f>
        <v>0</v>
      </c>
      <c r="AZ48" s="79">
        <f>a!AZ48+b!AZ48+'c'!AZ48</f>
        <v>0</v>
      </c>
      <c r="BA48" s="79">
        <f>a!BA48+b!BA48+'c'!BA48</f>
        <v>300000000</v>
      </c>
      <c r="BB48" s="79">
        <f>a!BB48+b!BB48+'c'!BB48</f>
        <v>0</v>
      </c>
      <c r="BC48" s="79">
        <f>a!BC48+b!BC48+'c'!BC48</f>
        <v>388615106</v>
      </c>
      <c r="BD48" s="79">
        <f>a!BD48+b!BD48+'c'!BD48</f>
        <v>10237194491</v>
      </c>
      <c r="BE48" s="79">
        <f>a!BE48+b!BE48+'c'!BE48</f>
        <v>10148579385</v>
      </c>
      <c r="BF48" s="825">
        <f t="shared" si="3"/>
        <v>99.134380947066063</v>
      </c>
    </row>
    <row r="49" spans="1:58" ht="13.5" thickBot="1">
      <c r="A49" s="93" t="s">
        <v>6</v>
      </c>
      <c r="B49" s="94">
        <v>8</v>
      </c>
      <c r="C49" s="95">
        <f>a!C49+b!C49+'c'!C49</f>
        <v>6930104162</v>
      </c>
      <c r="D49" s="95">
        <f>a!D49+b!D49+'c'!D49</f>
        <v>13964689800</v>
      </c>
      <c r="E49" s="203">
        <f>a!E49+b!E49+'c'!E49</f>
        <v>20933189485</v>
      </c>
      <c r="F49" s="203">
        <f>a!F49+b!F49+'c'!F49</f>
        <v>1213487354</v>
      </c>
      <c r="G49" s="203">
        <f>a!G49+b!G49+'c'!G49</f>
        <v>0</v>
      </c>
      <c r="H49" s="203">
        <f>a!H49+b!H49+'c'!H49</f>
        <v>0</v>
      </c>
      <c r="I49" s="203">
        <f>a!I49+b!I49+'c'!I49</f>
        <v>0</v>
      </c>
      <c r="J49" s="203">
        <f>a!J49+b!J49+'c'!J49</f>
        <v>6950069686</v>
      </c>
      <c r="K49" s="203">
        <f>a!K49+b!K49+'c'!K49</f>
        <v>0</v>
      </c>
      <c r="L49" s="203">
        <f>a!L49+b!L49+'c'!L49</f>
        <v>8163557040</v>
      </c>
      <c r="M49" s="203">
        <f>a!M49+b!M49+'c'!M49</f>
        <v>29096746525</v>
      </c>
      <c r="N49" s="203">
        <f>a!N49+b!N49+'c'!N49</f>
        <v>0</v>
      </c>
      <c r="O49" s="203">
        <f>a!O49+b!O49+'c'!O49</f>
        <v>0</v>
      </c>
      <c r="P49" s="203">
        <f>a!P49+b!P49+'c'!P49</f>
        <v>0</v>
      </c>
      <c r="Q49" s="203">
        <f>a!Q49+b!Q49+'c'!Q49</f>
        <v>1200000000</v>
      </c>
      <c r="R49" s="203">
        <f>a!R49+b!R49+'c'!R49</f>
        <v>0</v>
      </c>
      <c r="S49" s="203">
        <f>a!S49+b!S49+'c'!S49</f>
        <v>1200000000</v>
      </c>
      <c r="T49" s="203">
        <f>a!T49+b!T49+'c'!T49</f>
        <v>30296746525</v>
      </c>
      <c r="U49" s="203">
        <f>a!U49+b!U49+'c'!U49</f>
        <v>88615106</v>
      </c>
      <c r="V49" s="203">
        <f>a!V49+b!V49+'c'!V49</f>
        <v>-5455649260</v>
      </c>
      <c r="W49" s="203">
        <f>a!W49+b!W49+'c'!W49</f>
        <v>0</v>
      </c>
      <c r="X49" s="203">
        <f>a!X49+b!X49+'c'!X49</f>
        <v>300000000</v>
      </c>
      <c r="Y49" s="203">
        <f>a!Y49+b!Y49+'c'!Y49</f>
        <v>0</v>
      </c>
      <c r="Z49" s="203">
        <f>a!Z49+b!Z49+'c'!Z49</f>
        <v>-5067034154</v>
      </c>
      <c r="AA49" s="203">
        <f>a!AA49+b!AA49+'c'!AA49</f>
        <v>25229712371</v>
      </c>
      <c r="AB49" s="203">
        <f>a!AB49+b!AB49+'c'!AB49</f>
        <v>25041471830</v>
      </c>
      <c r="AC49" s="820">
        <f t="shared" si="0"/>
        <v>99.25389343234697</v>
      </c>
      <c r="AD49" s="185" t="s">
        <v>7</v>
      </c>
      <c r="AE49" s="186"/>
      <c r="AF49" s="187">
        <f>a!AF49+b!AF49+'c'!AF49</f>
        <v>1698509699</v>
      </c>
      <c r="AG49" s="187">
        <f>a!AG49+b!AG49+'c'!AG49</f>
        <v>227660800</v>
      </c>
      <c r="AH49" s="187">
        <f>a!AH49+b!AH49+'c'!AH49</f>
        <v>1926170499</v>
      </c>
      <c r="AI49" s="187">
        <f>a!AI49+b!AI49+'c'!AI49</f>
        <v>52065200</v>
      </c>
      <c r="AJ49" s="187">
        <f>a!AJ49+b!AJ49+'c'!AJ49</f>
        <v>0</v>
      </c>
      <c r="AK49" s="187">
        <f>a!AK49+b!AK49+'c'!AK49</f>
        <v>0</v>
      </c>
      <c r="AL49" s="187">
        <f>a!AL49+b!AL49+'c'!AL49</f>
        <v>0</v>
      </c>
      <c r="AM49" s="187">
        <f>a!AM49+b!AM49+'c'!AM49</f>
        <v>6950069686</v>
      </c>
      <c r="AN49" s="187">
        <f>a!AN49+b!AN49+'c'!AN49</f>
        <v>0</v>
      </c>
      <c r="AO49" s="187">
        <f>a!AO49+b!AO49+'c'!AO49</f>
        <v>7002134886</v>
      </c>
      <c r="AP49" s="187">
        <f>a!AP49+b!AP49+'c'!AP49</f>
        <v>8928305385</v>
      </c>
      <c r="AQ49" s="187">
        <f>a!AQ49+b!AQ49+'c'!AQ49</f>
        <v>0</v>
      </c>
      <c r="AR49" s="187">
        <f>a!AR49+b!AR49+'c'!AR49</f>
        <v>0</v>
      </c>
      <c r="AS49" s="187">
        <f>a!AS49+b!AS49+'c'!AS49</f>
        <v>0</v>
      </c>
      <c r="AT49" s="187">
        <f>a!AT49+b!AT49+'c'!AT49</f>
        <v>1200000000</v>
      </c>
      <c r="AU49" s="187">
        <f>a!AU49+b!AU49+'c'!AU49</f>
        <v>0</v>
      </c>
      <c r="AV49" s="187">
        <f>a!AV49+b!AV49+'c'!AV49</f>
        <v>1200000000</v>
      </c>
      <c r="AW49" s="187">
        <f>a!AW49+b!AW49+'c'!AW49</f>
        <v>10128305385</v>
      </c>
      <c r="AX49" s="187">
        <f>a!AX49+b!AX49+'c'!AX49</f>
        <v>88615106</v>
      </c>
      <c r="AY49" s="187">
        <f>a!AY49+b!AY49+'c'!AY49</f>
        <v>0</v>
      </c>
      <c r="AZ49" s="187">
        <f>a!AZ49+b!AZ49+'c'!AZ49</f>
        <v>0</v>
      </c>
      <c r="BA49" s="187">
        <f>a!BA49+b!BA49+'c'!BA49</f>
        <v>300000000</v>
      </c>
      <c r="BB49" s="187">
        <f>a!BB49+b!BB49+'c'!BB49</f>
        <v>0</v>
      </c>
      <c r="BC49" s="187">
        <f>a!BC49+b!BC49+'c'!BC49</f>
        <v>388615106</v>
      </c>
      <c r="BD49" s="187">
        <f>a!BD49+b!BD49+'c'!BD49</f>
        <v>10516920491</v>
      </c>
      <c r="BE49" s="187">
        <f>a!BE49+b!BE49+'c'!BE49</f>
        <v>10356840185</v>
      </c>
      <c r="BF49" s="828">
        <f t="shared" si="3"/>
        <v>98.477878518364847</v>
      </c>
    </row>
    <row r="50" spans="1:58" ht="13.5" thickBot="1">
      <c r="A50" s="96" t="s">
        <v>24</v>
      </c>
      <c r="B50" s="96"/>
      <c r="C50" s="97">
        <f>a!C50+b!C50+'c'!C50</f>
        <v>19276009566</v>
      </c>
      <c r="D50" s="97">
        <f>a!D50+b!D50+'c'!D50</f>
        <v>20173024105</v>
      </c>
      <c r="E50" s="97">
        <f>a!E50+b!E50+'c'!E50</f>
        <v>39449033671</v>
      </c>
      <c r="F50" s="97">
        <f>a!F50+b!F50+'c'!F50</f>
        <v>2059102420</v>
      </c>
      <c r="G50" s="97">
        <f>a!G50+b!G50+'c'!G50</f>
        <v>123596701</v>
      </c>
      <c r="H50" s="97">
        <f>a!H50+b!H50+'c'!H50</f>
        <v>241930314</v>
      </c>
      <c r="I50" s="97">
        <f>a!I50+b!I50+'c'!I50</f>
        <v>60184131</v>
      </c>
      <c r="J50" s="97">
        <f>a!J50+b!J50+'c'!J50</f>
        <v>6950069686</v>
      </c>
      <c r="K50" s="97">
        <f>a!K50+b!K50+'c'!K50</f>
        <v>240651215</v>
      </c>
      <c r="L50" s="97">
        <f>a!L50+b!L50+'c'!L50</f>
        <v>9675534467</v>
      </c>
      <c r="M50" s="97">
        <f>a!M50+b!M50+'c'!M50</f>
        <v>49112531447</v>
      </c>
      <c r="N50" s="97">
        <f>a!N50+b!N50+'c'!N50</f>
        <v>118437396</v>
      </c>
      <c r="O50" s="97">
        <f>a!O50+b!O50+'c'!O50</f>
        <v>7764832</v>
      </c>
      <c r="P50" s="97">
        <f>a!P50+b!P50+'c'!P50</f>
        <v>59899679</v>
      </c>
      <c r="Q50" s="97">
        <f>a!Q50+b!Q50+'c'!Q50</f>
        <v>1200000000</v>
      </c>
      <c r="R50" s="97">
        <f>a!R50+b!R50+'c'!R50</f>
        <v>216382412</v>
      </c>
      <c r="S50" s="97">
        <f>a!S50+b!S50+'c'!S50</f>
        <v>1602484319</v>
      </c>
      <c r="T50" s="97">
        <f>a!T50+b!T50+'c'!T50</f>
        <v>50715015766</v>
      </c>
      <c r="U50" s="97">
        <f>a!U50+b!U50+'c'!U50</f>
        <v>1342591235</v>
      </c>
      <c r="V50" s="97">
        <f>a!V50+b!V50+'c'!V50</f>
        <v>-5285062436</v>
      </c>
      <c r="W50" s="97">
        <f>a!W50+b!W50+'c'!W50</f>
        <v>-908724484</v>
      </c>
      <c r="X50" s="97">
        <f>a!X50+b!X50+'c'!X50</f>
        <v>302749177</v>
      </c>
      <c r="Y50" s="97">
        <f>a!Y50+b!Y50+'c'!Y50</f>
        <v>84221942</v>
      </c>
      <c r="Z50" s="97">
        <f>a!Z50+b!Z50+'c'!Z50</f>
        <v>-4464224566</v>
      </c>
      <c r="AA50" s="97">
        <f>a!AA50+b!AA50+'c'!AA50</f>
        <v>46250791200</v>
      </c>
      <c r="AB50" s="97">
        <f>a!AB50+b!AB50+'c'!AB50</f>
        <v>46291603336</v>
      </c>
      <c r="AC50" s="822">
        <f>AB50/AA50*100</f>
        <v>100.08824094667597</v>
      </c>
      <c r="AD50" s="174" t="s">
        <v>60</v>
      </c>
      <c r="AE50" s="174"/>
      <c r="AF50" s="175">
        <f>a!AF50+b!AF50+'c'!AF50</f>
        <v>15578015631.5</v>
      </c>
      <c r="AG50" s="175">
        <f>a!AG50+b!AG50+'c'!AG50</f>
        <v>24051403611</v>
      </c>
      <c r="AH50" s="176">
        <f>a!AH50+b!AH50+'c'!AH50</f>
        <v>39449033671</v>
      </c>
      <c r="AI50" s="176">
        <f>a!AI50+b!AI50+'c'!AI50</f>
        <v>2060281660</v>
      </c>
      <c r="AJ50" s="176">
        <f>a!AJ50+b!AJ50+'c'!AJ50</f>
        <v>111560010</v>
      </c>
      <c r="AK50" s="176">
        <f>a!AK50+b!AK50+'c'!AK50</f>
        <v>241930314</v>
      </c>
      <c r="AL50" s="176">
        <f>a!AL50+b!AL50+'c'!AL50</f>
        <v>60184131</v>
      </c>
      <c r="AM50" s="176">
        <f>a!AM50+b!AM50+'c'!AM50</f>
        <v>6950069686</v>
      </c>
      <c r="AN50" s="176">
        <f>a!AN50+b!AN50+'c'!AN50</f>
        <v>240651215</v>
      </c>
      <c r="AO50" s="176">
        <f>a!AO50+b!AO50+'c'!AO50</f>
        <v>9664677016</v>
      </c>
      <c r="AP50" s="175">
        <f>a!AP50+b!AP50+'c'!AP50</f>
        <v>49112531447</v>
      </c>
      <c r="AQ50" s="175">
        <f>a!AQ50+b!AQ50+'c'!AQ50</f>
        <v>118437396</v>
      </c>
      <c r="AR50" s="175">
        <f>a!AR50+b!AR50+'c'!AR50</f>
        <v>7764832</v>
      </c>
      <c r="AS50" s="175">
        <f>a!AS50+b!AS50+'c'!AS50</f>
        <v>59899679</v>
      </c>
      <c r="AT50" s="175">
        <f>a!AT50+b!AT50+'c'!AT50</f>
        <v>1202460000</v>
      </c>
      <c r="AU50" s="175">
        <f>a!AU50+b!AU50+'c'!AU50</f>
        <v>216382412</v>
      </c>
      <c r="AV50" s="175">
        <f>a!AV50+b!AV50+'c'!AV50</f>
        <v>1604944319</v>
      </c>
      <c r="AW50" s="176">
        <f>a!AW50+b!AW50+'c'!AW50</f>
        <v>50715015766</v>
      </c>
      <c r="AX50" s="176">
        <f>a!AX50+b!AX50+'c'!AX50</f>
        <v>1342591235</v>
      </c>
      <c r="AY50" s="176">
        <f>a!AY50+b!AY50+'c'!AY50</f>
        <v>-5285062436</v>
      </c>
      <c r="AZ50" s="176">
        <f>a!AZ50+b!AZ50+'c'!AZ50</f>
        <v>-908724484</v>
      </c>
      <c r="BA50" s="176">
        <f>a!BA50+b!BA50+'c'!BA50</f>
        <v>302749177</v>
      </c>
      <c r="BB50" s="176">
        <f>a!BB50+b!BB50+'c'!BB50</f>
        <v>84221942</v>
      </c>
      <c r="BC50" s="176">
        <f>a!BC50+b!BC50+'c'!BC50</f>
        <v>-4464224566</v>
      </c>
      <c r="BD50" s="176">
        <f>a!BD50+b!BD50+'c'!BD50</f>
        <v>46250791200</v>
      </c>
      <c r="BE50" s="176">
        <f>a!BE50+b!BE50+'c'!BE50</f>
        <v>26258003436</v>
      </c>
      <c r="BF50" s="829">
        <f>BE50/BD50*100</f>
        <v>56.773090264453685</v>
      </c>
    </row>
    <row r="52" spans="1:58">
      <c r="A52" s="3" t="s">
        <v>721</v>
      </c>
      <c r="E52" s="60">
        <v>14223637883</v>
      </c>
    </row>
    <row r="53" spans="1:58">
      <c r="A53" s="853" t="s">
        <v>722</v>
      </c>
      <c r="E53" s="60">
        <v>29566928836</v>
      </c>
    </row>
    <row r="54" spans="1:58">
      <c r="A54" s="3" t="s">
        <v>723</v>
      </c>
      <c r="E54" s="60">
        <v>26258003436</v>
      </c>
    </row>
    <row r="55" spans="1:58" ht="17" customHeight="1">
      <c r="A55" s="3" t="s">
        <v>724</v>
      </c>
      <c r="E55" s="60">
        <v>147017364</v>
      </c>
    </row>
    <row r="56" spans="1:58">
      <c r="A56" s="3" t="s">
        <v>725</v>
      </c>
      <c r="E56" s="60">
        <v>17679580647</v>
      </c>
    </row>
    <row r="57" spans="1:58" ht="17" customHeight="1"/>
    <row r="58" spans="1:58" ht="17" customHeight="1"/>
  </sheetData>
  <mergeCells count="24">
    <mergeCell ref="N6:S6"/>
    <mergeCell ref="T6:T7"/>
    <mergeCell ref="A5:AC5"/>
    <mergeCell ref="E6:E7"/>
    <mergeCell ref="B6:B7"/>
    <mergeCell ref="A6:A7"/>
    <mergeCell ref="F6:L6"/>
    <mergeCell ref="M6:M7"/>
    <mergeCell ref="U6:Z6"/>
    <mergeCell ref="AA6:AA7"/>
    <mergeCell ref="AB6:AB7"/>
    <mergeCell ref="AC6:AC7"/>
    <mergeCell ref="AX6:BC6"/>
    <mergeCell ref="BD6:BD7"/>
    <mergeCell ref="BE6:BE7"/>
    <mergeCell ref="BF6:BF7"/>
    <mergeCell ref="AD5:BF5"/>
    <mergeCell ref="AW6:AW7"/>
    <mergeCell ref="AQ6:AV6"/>
    <mergeCell ref="AD6:AD7"/>
    <mergeCell ref="AP6:AP7"/>
    <mergeCell ref="AH6:AH7"/>
    <mergeCell ref="AE6:AE7"/>
    <mergeCell ref="AI6:AO6"/>
  </mergeCells>
  <phoneticPr fontId="0" type="noConversion"/>
  <printOptions horizontalCentered="1"/>
  <pageMargins left="0.39370078740157483" right="0.39370078740157483" top="0.6692913385826772" bottom="0.19685039370078741" header="0.51181102362204722" footer="0.51181102362204722"/>
  <pageSetup paperSize="9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5"/>
  <sheetViews>
    <sheetView showGridLines="0" view="pageBreakPreview" topLeftCell="E1" zoomScaleNormal="100" zoomScaleSheetLayoutView="100" workbookViewId="0">
      <pane ySplit="3600" topLeftCell="A8" activePane="bottomLeft"/>
      <selection activeCell="BD6" sqref="BD6:BD7"/>
      <selection pane="bottomLeft" activeCell="AD10" sqref="AD10"/>
    </sheetView>
  </sheetViews>
  <sheetFormatPr defaultColWidth="9.1796875" defaultRowHeight="13"/>
  <cols>
    <col min="1" max="1" width="63.08984375" style="3" customWidth="1"/>
    <col min="2" max="2" width="6.90625" style="3" customWidth="1"/>
    <col min="3" max="3" width="9.54296875" style="3" hidden="1" customWidth="1"/>
    <col min="4" max="4" width="10.26953125" style="3" hidden="1" customWidth="1"/>
    <col min="5" max="5" width="9.453125" style="3" customWidth="1"/>
    <col min="6" max="6" width="9.7265625" style="3" hidden="1" customWidth="1"/>
    <col min="7" max="7" width="8.81640625" style="3" hidden="1" customWidth="1"/>
    <col min="8" max="13" width="9.7265625" style="3" hidden="1" customWidth="1"/>
    <col min="14" max="14" width="8.81640625" style="3" hidden="1" customWidth="1"/>
    <col min="15" max="20" width="9.7265625" style="3" hidden="1" customWidth="1"/>
    <col min="21" max="21" width="8.81640625" style="3" hidden="1" customWidth="1"/>
    <col min="22" max="22" width="7.90625" style="3" hidden="1" customWidth="1"/>
    <col min="23" max="23" width="9.7265625" style="3" hidden="1" customWidth="1"/>
    <col min="24" max="24" width="8.453125" style="3" hidden="1" customWidth="1"/>
    <col min="25" max="25" width="8.1796875" style="3" hidden="1" customWidth="1"/>
    <col min="26" max="26" width="1.6328125" style="3" hidden="1" customWidth="1"/>
    <col min="27" max="27" width="10.453125" style="3" customWidth="1"/>
    <col min="28" max="28" width="9.7265625" style="3" customWidth="1"/>
    <col min="29" max="29" width="8.36328125" style="238" customWidth="1"/>
    <col min="30" max="30" width="61.453125" style="3" customWidth="1"/>
    <col min="31" max="31" width="7.54296875" style="3" customWidth="1"/>
    <col min="32" max="32" width="10.7265625" style="3" hidden="1" customWidth="1"/>
    <col min="33" max="33" width="10" style="3" hidden="1" customWidth="1"/>
    <col min="34" max="34" width="12.36328125" style="3" customWidth="1"/>
    <col min="35" max="35" width="9.54296875" style="3" hidden="1" customWidth="1"/>
    <col min="36" max="36" width="8.7265625" style="3" hidden="1" customWidth="1"/>
    <col min="37" max="42" width="0" style="3" hidden="1" customWidth="1"/>
    <col min="43" max="43" width="8.81640625" style="3" hidden="1" customWidth="1"/>
    <col min="44" max="49" width="9.7265625" style="3" hidden="1" customWidth="1"/>
    <col min="50" max="50" width="8.81640625" style="3" hidden="1" customWidth="1"/>
    <col min="51" max="55" width="9.7265625" style="3" hidden="1" customWidth="1"/>
    <col min="56" max="56" width="12.08984375" style="3" customWidth="1"/>
    <col min="57" max="57" width="11" style="3" customWidth="1"/>
    <col min="58" max="58" width="7.26953125" style="238" customWidth="1"/>
    <col min="59" max="16384" width="9.1796875" style="3"/>
  </cols>
  <sheetData>
    <row r="1" spans="1:58">
      <c r="A1" s="10" t="s">
        <v>30</v>
      </c>
      <c r="B1" s="10"/>
      <c r="C1" s="11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682"/>
      <c r="AD1" s="10"/>
      <c r="AE1" s="10"/>
      <c r="AF1" s="10"/>
      <c r="AG1" s="10"/>
      <c r="AH1" s="13"/>
      <c r="AI1" s="13"/>
      <c r="AQ1" s="12"/>
      <c r="AR1" s="12"/>
      <c r="AS1" s="12"/>
      <c r="AT1" s="12"/>
      <c r="AU1" s="12"/>
      <c r="AV1" s="12"/>
      <c r="AW1" s="237"/>
      <c r="AX1" s="12"/>
      <c r="AY1" s="12"/>
      <c r="AZ1" s="12"/>
      <c r="BA1" s="12"/>
      <c r="BB1" s="12"/>
      <c r="BC1" s="12"/>
      <c r="BD1" s="12"/>
      <c r="BE1" s="12"/>
      <c r="BF1" s="237" t="s">
        <v>720</v>
      </c>
    </row>
    <row r="2" spans="1:58" ht="19.5" customHeight="1">
      <c r="A2" s="14"/>
      <c r="B2" s="14"/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682"/>
      <c r="AD2" s="10"/>
      <c r="AE2" s="10"/>
      <c r="AF2" s="10"/>
      <c r="AG2" s="10"/>
      <c r="AH2" s="15"/>
      <c r="AI2" s="15"/>
      <c r="AJ2" s="15"/>
      <c r="AP2" s="238"/>
      <c r="AQ2" s="12"/>
      <c r="AR2" s="12"/>
      <c r="AS2" s="12"/>
      <c r="AT2" s="12"/>
      <c r="AU2" s="12"/>
      <c r="AV2" s="12"/>
      <c r="AW2" s="682"/>
      <c r="AX2" s="12"/>
      <c r="AY2" s="12"/>
      <c r="AZ2" s="12"/>
      <c r="BA2" s="12"/>
      <c r="BB2" s="12"/>
      <c r="BC2" s="12"/>
      <c r="BD2" s="12"/>
      <c r="BE2" s="12"/>
      <c r="BF2" s="682"/>
    </row>
    <row r="3" spans="1:58">
      <c r="A3" s="14"/>
      <c r="B3" s="14"/>
      <c r="C3" s="11"/>
      <c r="D3" s="11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682"/>
      <c r="AD3" s="10"/>
      <c r="AE3" s="10"/>
      <c r="AF3" s="10"/>
      <c r="AG3" s="10"/>
      <c r="AH3" s="15"/>
      <c r="AI3" s="15"/>
      <c r="AJ3" s="15"/>
      <c r="AP3" s="238"/>
      <c r="AQ3" s="12"/>
      <c r="AR3" s="12"/>
      <c r="AS3" s="12"/>
      <c r="AT3" s="12"/>
      <c r="AU3" s="12"/>
      <c r="AV3" s="12"/>
      <c r="AW3" s="682"/>
      <c r="AX3" s="12"/>
      <c r="AY3" s="12"/>
      <c r="AZ3" s="12"/>
      <c r="BA3" s="12"/>
      <c r="BB3" s="12"/>
      <c r="BC3" s="12"/>
      <c r="BD3" s="12"/>
      <c r="BE3" s="12"/>
      <c r="BF3" s="682"/>
    </row>
    <row r="4" spans="1:58" ht="13.5" thickBot="1">
      <c r="A4" s="14"/>
      <c r="B4" s="14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682"/>
      <c r="AD4" s="10"/>
      <c r="AE4" s="10"/>
      <c r="AF4" s="10"/>
      <c r="AG4" s="10"/>
      <c r="AH4" s="15"/>
      <c r="AI4" s="15"/>
      <c r="AP4" s="237"/>
      <c r="AQ4" s="12"/>
      <c r="AR4" s="12"/>
      <c r="AS4" s="12"/>
      <c r="AT4" s="12"/>
      <c r="AU4" s="12"/>
      <c r="AV4" s="12"/>
      <c r="AW4" s="237"/>
      <c r="AX4" s="12"/>
      <c r="AY4" s="12"/>
      <c r="AZ4" s="12"/>
      <c r="BA4" s="12"/>
      <c r="BB4" s="12"/>
      <c r="BC4" s="12"/>
      <c r="BD4" s="12"/>
      <c r="BE4" s="12"/>
      <c r="BF4" s="237" t="s">
        <v>378</v>
      </c>
    </row>
    <row r="5" spans="1:58" s="21" customFormat="1" ht="18" thickBot="1">
      <c r="A5" s="986" t="s">
        <v>61</v>
      </c>
      <c r="B5" s="987"/>
      <c r="C5" s="987"/>
      <c r="D5" s="987"/>
      <c r="E5" s="987"/>
      <c r="F5" s="987"/>
      <c r="G5" s="987"/>
      <c r="H5" s="987"/>
      <c r="I5" s="987"/>
      <c r="J5" s="987"/>
      <c r="K5" s="987"/>
      <c r="L5" s="987"/>
      <c r="M5" s="987"/>
      <c r="N5" s="987"/>
      <c r="O5" s="987"/>
      <c r="P5" s="987"/>
      <c r="Q5" s="987"/>
      <c r="R5" s="987"/>
      <c r="S5" s="987"/>
      <c r="T5" s="987"/>
      <c r="U5" s="987"/>
      <c r="V5" s="987"/>
      <c r="W5" s="987"/>
      <c r="X5" s="987"/>
      <c r="Y5" s="987"/>
      <c r="Z5" s="987"/>
      <c r="AA5" s="987"/>
      <c r="AB5" s="987"/>
      <c r="AC5" s="988"/>
      <c r="AD5" s="986" t="s">
        <v>62</v>
      </c>
      <c r="AE5" s="987"/>
      <c r="AF5" s="987"/>
      <c r="AG5" s="987"/>
      <c r="AH5" s="987"/>
      <c r="AI5" s="987"/>
      <c r="AJ5" s="987"/>
      <c r="AK5" s="987"/>
      <c r="AL5" s="987"/>
      <c r="AM5" s="987"/>
      <c r="AN5" s="987"/>
      <c r="AO5" s="987"/>
      <c r="AP5" s="987"/>
      <c r="AQ5" s="987"/>
      <c r="AR5" s="987"/>
      <c r="AS5" s="987"/>
      <c r="AT5" s="987"/>
      <c r="AU5" s="987"/>
      <c r="AV5" s="987"/>
      <c r="AW5" s="987"/>
      <c r="AX5" s="987"/>
      <c r="AY5" s="987"/>
      <c r="AZ5" s="987"/>
      <c r="BA5" s="987"/>
      <c r="BB5" s="987"/>
      <c r="BC5" s="987"/>
      <c r="BD5" s="987"/>
      <c r="BE5" s="987"/>
      <c r="BF5" s="988"/>
    </row>
    <row r="6" spans="1:58" s="21" customFormat="1" ht="18" thickBot="1">
      <c r="A6" s="989" t="s">
        <v>106</v>
      </c>
      <c r="B6" s="989" t="s">
        <v>310</v>
      </c>
      <c r="C6" s="658"/>
      <c r="D6" s="658"/>
      <c r="E6" s="984" t="s">
        <v>535</v>
      </c>
      <c r="F6" s="985" t="s">
        <v>606</v>
      </c>
      <c r="G6" s="985"/>
      <c r="H6" s="985"/>
      <c r="I6" s="985"/>
      <c r="J6" s="985"/>
      <c r="K6" s="985"/>
      <c r="L6" s="985"/>
      <c r="M6" s="981" t="s">
        <v>605</v>
      </c>
      <c r="N6" s="990" t="s">
        <v>606</v>
      </c>
      <c r="O6" s="991"/>
      <c r="P6" s="991"/>
      <c r="Q6" s="991"/>
      <c r="R6" s="991"/>
      <c r="S6" s="992"/>
      <c r="T6" s="981" t="s">
        <v>650</v>
      </c>
      <c r="U6" s="990" t="s">
        <v>606</v>
      </c>
      <c r="V6" s="991"/>
      <c r="W6" s="991"/>
      <c r="X6" s="991"/>
      <c r="Y6" s="991"/>
      <c r="Z6" s="992"/>
      <c r="AA6" s="981" t="s">
        <v>672</v>
      </c>
      <c r="AB6" s="981" t="s">
        <v>673</v>
      </c>
      <c r="AC6" s="982" t="s">
        <v>677</v>
      </c>
      <c r="AD6" s="989" t="s">
        <v>106</v>
      </c>
      <c r="AE6" s="989" t="s">
        <v>275</v>
      </c>
      <c r="AF6" s="660"/>
      <c r="AG6" s="660"/>
      <c r="AH6" s="984" t="s">
        <v>452</v>
      </c>
      <c r="AI6" s="985" t="s">
        <v>606</v>
      </c>
      <c r="AJ6" s="985"/>
      <c r="AK6" s="985"/>
      <c r="AL6" s="985"/>
      <c r="AM6" s="985"/>
      <c r="AN6" s="985"/>
      <c r="AO6" s="985"/>
      <c r="AP6" s="981" t="s">
        <v>605</v>
      </c>
      <c r="AQ6" s="983" t="s">
        <v>606</v>
      </c>
      <c r="AR6" s="983"/>
      <c r="AS6" s="983"/>
      <c r="AT6" s="983"/>
      <c r="AU6" s="983"/>
      <c r="AV6" s="983"/>
      <c r="AW6" s="981" t="s">
        <v>650</v>
      </c>
      <c r="AX6" s="983" t="s">
        <v>606</v>
      </c>
      <c r="AY6" s="983"/>
      <c r="AZ6" s="983"/>
      <c r="BA6" s="983"/>
      <c r="BB6" s="983"/>
      <c r="BC6" s="983"/>
      <c r="BD6" s="981" t="s">
        <v>672</v>
      </c>
      <c r="BE6" s="981" t="s">
        <v>673</v>
      </c>
      <c r="BF6" s="982" t="s">
        <v>677</v>
      </c>
    </row>
    <row r="7" spans="1:58" s="21" customFormat="1" ht="104.5" thickBot="1">
      <c r="A7" s="989"/>
      <c r="B7" s="989"/>
      <c r="C7" s="659" t="s">
        <v>450</v>
      </c>
      <c r="D7" s="659" t="s">
        <v>451</v>
      </c>
      <c r="E7" s="984"/>
      <c r="F7" s="659" t="s">
        <v>536</v>
      </c>
      <c r="G7" s="659" t="s">
        <v>647</v>
      </c>
      <c r="H7" s="659" t="s">
        <v>601</v>
      </c>
      <c r="I7" s="659" t="s">
        <v>602</v>
      </c>
      <c r="J7" s="659" t="s">
        <v>604</v>
      </c>
      <c r="K7" s="659" t="s">
        <v>603</v>
      </c>
      <c r="L7" s="659" t="s">
        <v>537</v>
      </c>
      <c r="M7" s="981"/>
      <c r="N7" s="659" t="s">
        <v>647</v>
      </c>
      <c r="O7" s="659" t="s">
        <v>601</v>
      </c>
      <c r="P7" s="659" t="s">
        <v>602</v>
      </c>
      <c r="Q7" s="659" t="s">
        <v>604</v>
      </c>
      <c r="R7" s="659" t="s">
        <v>603</v>
      </c>
      <c r="S7" s="659" t="s">
        <v>537</v>
      </c>
      <c r="T7" s="981"/>
      <c r="U7" s="708" t="s">
        <v>647</v>
      </c>
      <c r="V7" s="708" t="s">
        <v>601</v>
      </c>
      <c r="W7" s="708" t="s">
        <v>602</v>
      </c>
      <c r="X7" s="708" t="s">
        <v>604</v>
      </c>
      <c r="Y7" s="708" t="s">
        <v>603</v>
      </c>
      <c r="Z7" s="708" t="s">
        <v>537</v>
      </c>
      <c r="AA7" s="981"/>
      <c r="AB7" s="981"/>
      <c r="AC7" s="982"/>
      <c r="AD7" s="989"/>
      <c r="AE7" s="989"/>
      <c r="AF7" s="708" t="s">
        <v>450</v>
      </c>
      <c r="AG7" s="708" t="s">
        <v>451</v>
      </c>
      <c r="AH7" s="984"/>
      <c r="AI7" s="708" t="s">
        <v>536</v>
      </c>
      <c r="AJ7" s="708" t="s">
        <v>647</v>
      </c>
      <c r="AK7" s="708" t="s">
        <v>601</v>
      </c>
      <c r="AL7" s="708" t="s">
        <v>602</v>
      </c>
      <c r="AM7" s="708" t="s">
        <v>604</v>
      </c>
      <c r="AN7" s="708" t="s">
        <v>603</v>
      </c>
      <c r="AO7" s="708" t="s">
        <v>537</v>
      </c>
      <c r="AP7" s="981"/>
      <c r="AQ7" s="708" t="s">
        <v>647</v>
      </c>
      <c r="AR7" s="708" t="s">
        <v>601</v>
      </c>
      <c r="AS7" s="708" t="s">
        <v>602</v>
      </c>
      <c r="AT7" s="708" t="s">
        <v>604</v>
      </c>
      <c r="AU7" s="708" t="s">
        <v>603</v>
      </c>
      <c r="AV7" s="708" t="s">
        <v>537</v>
      </c>
      <c r="AW7" s="981"/>
      <c r="AX7" s="708" t="s">
        <v>647</v>
      </c>
      <c r="AY7" s="708" t="s">
        <v>601</v>
      </c>
      <c r="AZ7" s="708" t="s">
        <v>602</v>
      </c>
      <c r="BA7" s="708" t="s">
        <v>604</v>
      </c>
      <c r="BB7" s="708" t="s">
        <v>603</v>
      </c>
      <c r="BC7" s="708" t="s">
        <v>537</v>
      </c>
      <c r="BD7" s="981"/>
      <c r="BE7" s="981"/>
      <c r="BF7" s="982"/>
    </row>
    <row r="8" spans="1:58">
      <c r="A8" s="67" t="s">
        <v>257</v>
      </c>
      <c r="B8" s="68">
        <v>1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830"/>
      <c r="AD8" s="193" t="s">
        <v>107</v>
      </c>
      <c r="AE8" s="139" t="s">
        <v>314</v>
      </c>
      <c r="AF8" s="140">
        <f>Kiadások!J163+Kiadások!J160+Kiadások!J157+Kiadások!J154</f>
        <v>42049965</v>
      </c>
      <c r="AG8" s="140">
        <f>Kiadások!K163+Kiadások!K160+Kiadások!K157+Kiadások!K154</f>
        <v>0</v>
      </c>
      <c r="AH8" s="140">
        <f>Kiadások!L163+Kiadások!L160+Kiadások!L157+Kiadások!L154</f>
        <v>42049965</v>
      </c>
      <c r="AI8" s="140">
        <f>Kiadások!M163+Kiadások!M160+Kiadások!M157+Kiadások!M154</f>
        <v>421527</v>
      </c>
      <c r="AJ8" s="140">
        <f>Kiadások!N163+Kiadások!N160+Kiadások!N157+Kiadások!N154</f>
        <v>0</v>
      </c>
      <c r="AK8" s="140">
        <f>Kiadások!O163+Kiadások!O160+Kiadások!O157+Kiadások!O154</f>
        <v>0</v>
      </c>
      <c r="AL8" s="140">
        <f>Kiadások!P163+Kiadások!P160+Kiadások!P157+Kiadások!P154</f>
        <v>0</v>
      </c>
      <c r="AM8" s="140">
        <f>Kiadások!Q163+Kiadások!Q160+Kiadások!Q157+Kiadások!Q154</f>
        <v>-227000</v>
      </c>
      <c r="AN8" s="140">
        <f>Kiadások!R163+Kiadások!R160+Kiadások!R157+Kiadások!R154</f>
        <v>0</v>
      </c>
      <c r="AO8" s="140">
        <f>Kiadások!S163+Kiadások!S160+Kiadások!S157+Kiadások!S154</f>
        <v>194527</v>
      </c>
      <c r="AP8" s="140">
        <f>Kiadások!T163+Kiadások!T160+Kiadások!T157+Kiadások!T154</f>
        <v>42244492</v>
      </c>
      <c r="AQ8" s="140">
        <f>Kiadások!U163+Kiadások!U160+Kiadások!U157+Kiadások!U154</f>
        <v>0</v>
      </c>
      <c r="AR8" s="140">
        <f>Kiadások!V163+Kiadások!V160+Kiadások!V157+Kiadások!V154</f>
        <v>0</v>
      </c>
      <c r="AS8" s="140">
        <f>Kiadások!W163+Kiadások!W160+Kiadások!W157+Kiadások!W154</f>
        <v>4048000</v>
      </c>
      <c r="AT8" s="140">
        <f>Kiadások!X163+Kiadások!X160+Kiadások!X157+Kiadások!X154</f>
        <v>0</v>
      </c>
      <c r="AU8" s="140">
        <f>Kiadások!Y163+Kiadások!Y160+Kiadások!Y157+Kiadások!Y154</f>
        <v>0</v>
      </c>
      <c r="AV8" s="140">
        <f>Kiadások!Z163+Kiadások!Z160+Kiadások!Z157+Kiadások!Z154</f>
        <v>4048000</v>
      </c>
      <c r="AW8" s="140">
        <f>Kiadások!AA163+Kiadások!AA160+Kiadások!AA157+Kiadások!AA154</f>
        <v>46292492</v>
      </c>
      <c r="AX8" s="140">
        <f>Kiadások!AB163+Kiadások!AB160+Kiadások!AB157+Kiadások!AB154</f>
        <v>0</v>
      </c>
      <c r="AY8" s="140">
        <f>Kiadások!AC163+Kiadások!AC160+Kiadások!AC157+Kiadások!AC154</f>
        <v>2963429</v>
      </c>
      <c r="AZ8" s="140">
        <f>Kiadások!AD163+Kiadások!AD160+Kiadások!AD157+Kiadások!AD154</f>
        <v>3511000</v>
      </c>
      <c r="BA8" s="140">
        <f>Kiadások!AE163+Kiadások!AE160+Kiadások!AE157+Kiadások!AE154</f>
        <v>0</v>
      </c>
      <c r="BB8" s="140">
        <f>Kiadások!AF163+Kiadások!AF160+Kiadások!AF157+Kiadások!AF154</f>
        <v>0</v>
      </c>
      <c r="BC8" s="140">
        <f>Kiadások!AG163+Kiadások!AG160+Kiadások!AG157+Kiadások!AG154</f>
        <v>6474429</v>
      </c>
      <c r="BD8" s="140">
        <f>Kiadások!AH163+Kiadások!AH160+Kiadások!AH157+Kiadások!AH154</f>
        <v>52766921</v>
      </c>
      <c r="BE8" s="140">
        <f>Kiadások!AI163+Kiadások!AI160+Kiadások!AI157+Kiadások!AI154</f>
        <v>51323630</v>
      </c>
      <c r="BF8" s="837">
        <f>BE8/BD8*100</f>
        <v>97.264780713659604</v>
      </c>
    </row>
    <row r="9" spans="1:58" ht="23">
      <c r="A9" s="72" t="s">
        <v>267</v>
      </c>
      <c r="B9" s="73">
        <v>1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831"/>
      <c r="AD9" s="194" t="s">
        <v>238</v>
      </c>
      <c r="AE9" s="73">
        <v>6</v>
      </c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838"/>
    </row>
    <row r="10" spans="1:58" ht="23">
      <c r="A10" s="72" t="s">
        <v>522</v>
      </c>
      <c r="B10" s="73">
        <v>2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831"/>
      <c r="AD10" s="194" t="s">
        <v>237</v>
      </c>
      <c r="AE10" s="73">
        <v>7</v>
      </c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838"/>
    </row>
    <row r="11" spans="1:58" ht="16.5" customHeight="1">
      <c r="A11" s="72" t="s">
        <v>321</v>
      </c>
      <c r="B11" s="73">
        <v>2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831"/>
      <c r="AD11" s="178" t="s">
        <v>523</v>
      </c>
      <c r="AE11" s="35">
        <v>8</v>
      </c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838"/>
    </row>
    <row r="12" spans="1:58">
      <c r="A12" s="72" t="s">
        <v>530</v>
      </c>
      <c r="B12" s="73">
        <v>3</v>
      </c>
      <c r="C12" s="141">
        <f>Bevételek!J131</f>
        <v>415000</v>
      </c>
      <c r="D12" s="141">
        <f>Bevételek!K131</f>
        <v>0</v>
      </c>
      <c r="E12" s="141">
        <f>Bevételek!L125</f>
        <v>415000</v>
      </c>
      <c r="F12" s="141">
        <f>Bevételek!M125</f>
        <v>0</v>
      </c>
      <c r="G12" s="141">
        <f>Bevételek!N125</f>
        <v>0</v>
      </c>
      <c r="H12" s="141">
        <f>Bevételek!O125</f>
        <v>0</v>
      </c>
      <c r="I12" s="141">
        <f>Bevételek!P125</f>
        <v>0</v>
      </c>
      <c r="J12" s="141">
        <f>Bevételek!Q125</f>
        <v>0</v>
      </c>
      <c r="K12" s="141">
        <f>Bevételek!R125</f>
        <v>0</v>
      </c>
      <c r="L12" s="141">
        <f>Bevételek!S125</f>
        <v>0</v>
      </c>
      <c r="M12" s="141">
        <f>Bevételek!T125</f>
        <v>415000</v>
      </c>
      <c r="N12" s="141">
        <f>Bevételek!U125</f>
        <v>0</v>
      </c>
      <c r="O12" s="141">
        <f>Bevételek!V125</f>
        <v>0</v>
      </c>
      <c r="P12" s="141">
        <f>Bevételek!W125</f>
        <v>0</v>
      </c>
      <c r="Q12" s="141">
        <f>Bevételek!X125</f>
        <v>0</v>
      </c>
      <c r="R12" s="141">
        <f>Bevételek!Y125</f>
        <v>0</v>
      </c>
      <c r="S12" s="141">
        <f>Bevételek!Z125</f>
        <v>0</v>
      </c>
      <c r="T12" s="141">
        <f>Bevételek!AA125</f>
        <v>415000</v>
      </c>
      <c r="U12" s="141">
        <f>Bevételek!AB125</f>
        <v>0</v>
      </c>
      <c r="V12" s="141">
        <f>Bevételek!AC125</f>
        <v>0</v>
      </c>
      <c r="W12" s="141">
        <f>Bevételek!AD125</f>
        <v>0</v>
      </c>
      <c r="X12" s="141">
        <f>Bevételek!AE125</f>
        <v>0</v>
      </c>
      <c r="Y12" s="141">
        <f>Bevételek!AF125</f>
        <v>0</v>
      </c>
      <c r="Z12" s="141">
        <f>Bevételek!AG125</f>
        <v>0</v>
      </c>
      <c r="AA12" s="141">
        <f>Bevételek!AH125</f>
        <v>415000</v>
      </c>
      <c r="AB12" s="141">
        <f>Bevételek!AI125</f>
        <v>460655</v>
      </c>
      <c r="AC12" s="834">
        <f t="shared" ref="AC12" si="0">AB12/AA12*100</f>
        <v>111.00120481927711</v>
      </c>
      <c r="AD12" s="195"/>
      <c r="AE12" s="34"/>
      <c r="AF12" s="142"/>
      <c r="AG12" s="143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838"/>
    </row>
    <row r="13" spans="1:58">
      <c r="A13" s="72" t="s">
        <v>531</v>
      </c>
      <c r="B13" s="73">
        <v>4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832"/>
      <c r="AD13" s="194"/>
      <c r="AE13" s="73"/>
      <c r="AF13" s="142"/>
      <c r="AG13" s="143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838"/>
    </row>
    <row r="14" spans="1:58">
      <c r="A14" s="72" t="s">
        <v>377</v>
      </c>
      <c r="B14" s="73">
        <v>5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832"/>
      <c r="AD14" s="194"/>
      <c r="AE14" s="73"/>
      <c r="AF14" s="142"/>
      <c r="AG14" s="143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838"/>
    </row>
    <row r="15" spans="1:58">
      <c r="A15" s="72" t="s">
        <v>532</v>
      </c>
      <c r="B15" s="73">
        <v>6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832"/>
      <c r="AD15" s="194"/>
      <c r="AE15" s="73"/>
      <c r="AF15" s="142"/>
      <c r="AG15" s="143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838"/>
    </row>
    <row r="16" spans="1:58">
      <c r="A16" s="72" t="s">
        <v>319</v>
      </c>
      <c r="B16" s="73">
        <v>7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832"/>
      <c r="AD16" s="194"/>
      <c r="AE16" s="73"/>
      <c r="AF16" s="142"/>
      <c r="AG16" s="143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838"/>
    </row>
    <row r="17" spans="1:58">
      <c r="A17" s="72" t="s">
        <v>595</v>
      </c>
      <c r="B17" s="73">
        <v>8</v>
      </c>
      <c r="C17" s="74"/>
      <c r="D17" s="74"/>
      <c r="E17" s="74"/>
      <c r="F17" s="74">
        <f>Bevételek!M126</f>
        <v>421527</v>
      </c>
      <c r="G17" s="74"/>
      <c r="H17" s="74"/>
      <c r="I17" s="74"/>
      <c r="J17" s="74"/>
      <c r="K17" s="74"/>
      <c r="L17" s="74">
        <f>Bevételek!S126</f>
        <v>421527</v>
      </c>
      <c r="M17" s="74">
        <f>Bevételek!T126</f>
        <v>421527</v>
      </c>
      <c r="N17" s="74"/>
      <c r="O17" s="74"/>
      <c r="P17" s="74"/>
      <c r="Q17" s="74"/>
      <c r="R17" s="74"/>
      <c r="S17" s="74">
        <f>Bevételek!Z126</f>
        <v>0</v>
      </c>
      <c r="T17" s="74">
        <f>Bevételek!AA126</f>
        <v>421527</v>
      </c>
      <c r="U17" s="74">
        <f>Bevételek!AB126</f>
        <v>0</v>
      </c>
      <c r="V17" s="74">
        <f>Bevételek!AC126</f>
        <v>0</v>
      </c>
      <c r="W17" s="74">
        <f>Bevételek!AD126</f>
        <v>0</v>
      </c>
      <c r="X17" s="74">
        <f>Bevételek!AE126</f>
        <v>0</v>
      </c>
      <c r="Y17" s="74">
        <f>Bevételek!AF126</f>
        <v>0</v>
      </c>
      <c r="Z17" s="74">
        <f>Bevételek!AG126</f>
        <v>0</v>
      </c>
      <c r="AA17" s="74">
        <f>Bevételek!AH126</f>
        <v>421527</v>
      </c>
      <c r="AB17" s="74">
        <f>Bevételek!AI126</f>
        <v>421527</v>
      </c>
      <c r="AC17" s="834">
        <f t="shared" ref="AC17:AC18" si="1">AB17/AA17*100</f>
        <v>100</v>
      </c>
      <c r="AD17" s="178"/>
      <c r="AE17" s="75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838"/>
    </row>
    <row r="18" spans="1:58">
      <c r="A18" s="77" t="s">
        <v>20</v>
      </c>
      <c r="B18" s="78"/>
      <c r="C18" s="144">
        <f>SUM(C8:C16)</f>
        <v>415000</v>
      </c>
      <c r="D18" s="144">
        <f>SUM(D8:D16)</f>
        <v>0</v>
      </c>
      <c r="E18" s="144">
        <f>SUM(E8:E17)</f>
        <v>415000</v>
      </c>
      <c r="F18" s="144">
        <f t="shared" ref="F18:M18" si="2">SUM(F8:F17)</f>
        <v>421527</v>
      </c>
      <c r="G18" s="144">
        <f t="shared" si="2"/>
        <v>0</v>
      </c>
      <c r="H18" s="144">
        <f t="shared" si="2"/>
        <v>0</v>
      </c>
      <c r="I18" s="144">
        <f t="shared" si="2"/>
        <v>0</v>
      </c>
      <c r="J18" s="144">
        <f t="shared" si="2"/>
        <v>0</v>
      </c>
      <c r="K18" s="144">
        <f t="shared" si="2"/>
        <v>0</v>
      </c>
      <c r="L18" s="144">
        <f t="shared" si="2"/>
        <v>421527</v>
      </c>
      <c r="M18" s="144">
        <f t="shared" si="2"/>
        <v>836527</v>
      </c>
      <c r="N18" s="144">
        <f t="shared" ref="N18:AB18" si="3">SUM(N8:N17)</f>
        <v>0</v>
      </c>
      <c r="O18" s="144">
        <f t="shared" si="3"/>
        <v>0</v>
      </c>
      <c r="P18" s="144">
        <f t="shared" si="3"/>
        <v>0</v>
      </c>
      <c r="Q18" s="144">
        <f t="shared" si="3"/>
        <v>0</v>
      </c>
      <c r="R18" s="144">
        <f t="shared" si="3"/>
        <v>0</v>
      </c>
      <c r="S18" s="144">
        <f t="shared" si="3"/>
        <v>0</v>
      </c>
      <c r="T18" s="144">
        <f t="shared" si="3"/>
        <v>836527</v>
      </c>
      <c r="U18" s="144">
        <f t="shared" si="3"/>
        <v>0</v>
      </c>
      <c r="V18" s="144">
        <f t="shared" si="3"/>
        <v>0</v>
      </c>
      <c r="W18" s="144">
        <f t="shared" si="3"/>
        <v>0</v>
      </c>
      <c r="X18" s="144">
        <f t="shared" si="3"/>
        <v>0</v>
      </c>
      <c r="Y18" s="144">
        <f t="shared" si="3"/>
        <v>0</v>
      </c>
      <c r="Z18" s="144">
        <f t="shared" si="3"/>
        <v>0</v>
      </c>
      <c r="AA18" s="144">
        <f t="shared" ref="AA18" si="4">SUM(AA8:AA17)</f>
        <v>836527</v>
      </c>
      <c r="AB18" s="144">
        <f t="shared" si="3"/>
        <v>882182</v>
      </c>
      <c r="AC18" s="832">
        <f t="shared" si="1"/>
        <v>105.4576839719459</v>
      </c>
      <c r="AD18" s="196" t="s">
        <v>21</v>
      </c>
      <c r="AE18" s="78"/>
      <c r="AF18" s="144">
        <f>SUM(AF8:AF13)</f>
        <v>42049965</v>
      </c>
      <c r="AG18" s="144">
        <f>SUM(AG8:AG13)</f>
        <v>0</v>
      </c>
      <c r="AH18" s="144">
        <f>SUM(AH8:AH13)</f>
        <v>42049965</v>
      </c>
      <c r="AI18" s="144">
        <f t="shared" ref="AI18:AP18" si="5">SUM(AI8:AI13)</f>
        <v>421527</v>
      </c>
      <c r="AJ18" s="144">
        <f t="shared" si="5"/>
        <v>0</v>
      </c>
      <c r="AK18" s="144">
        <f t="shared" si="5"/>
        <v>0</v>
      </c>
      <c r="AL18" s="144">
        <f t="shared" si="5"/>
        <v>0</v>
      </c>
      <c r="AM18" s="144">
        <f t="shared" si="5"/>
        <v>-227000</v>
      </c>
      <c r="AN18" s="144">
        <f t="shared" si="5"/>
        <v>0</v>
      </c>
      <c r="AO18" s="144">
        <f t="shared" si="5"/>
        <v>194527</v>
      </c>
      <c r="AP18" s="144">
        <f t="shared" si="5"/>
        <v>42244492</v>
      </c>
      <c r="AQ18" s="144">
        <f t="shared" ref="AQ18:AW18" si="6">SUM(AQ8:AQ13)</f>
        <v>0</v>
      </c>
      <c r="AR18" s="144">
        <f t="shared" si="6"/>
        <v>0</v>
      </c>
      <c r="AS18" s="144">
        <f t="shared" si="6"/>
        <v>4048000</v>
      </c>
      <c r="AT18" s="144">
        <f t="shared" si="6"/>
        <v>0</v>
      </c>
      <c r="AU18" s="144">
        <f t="shared" si="6"/>
        <v>0</v>
      </c>
      <c r="AV18" s="144">
        <f t="shared" si="6"/>
        <v>4048000</v>
      </c>
      <c r="AW18" s="144">
        <f t="shared" si="6"/>
        <v>46292492</v>
      </c>
      <c r="AX18" s="144">
        <f t="shared" ref="AX18:BE18" si="7">SUM(AX8:AX13)</f>
        <v>0</v>
      </c>
      <c r="AY18" s="144">
        <f t="shared" si="7"/>
        <v>2963429</v>
      </c>
      <c r="AZ18" s="144">
        <f t="shared" si="7"/>
        <v>3511000</v>
      </c>
      <c r="BA18" s="144">
        <f t="shared" si="7"/>
        <v>0</v>
      </c>
      <c r="BB18" s="144">
        <f t="shared" si="7"/>
        <v>0</v>
      </c>
      <c r="BC18" s="144">
        <f t="shared" si="7"/>
        <v>6474429</v>
      </c>
      <c r="BD18" s="144">
        <f t="shared" si="7"/>
        <v>52766921</v>
      </c>
      <c r="BE18" s="144">
        <f t="shared" si="7"/>
        <v>51323630</v>
      </c>
      <c r="BF18" s="836">
        <f>BE18/BD18*100</f>
        <v>97.264780713659604</v>
      </c>
    </row>
    <row r="19" spans="1:58">
      <c r="A19" s="82"/>
      <c r="B19" s="83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833"/>
      <c r="AD19" s="196"/>
      <c r="AE19" s="78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839"/>
    </row>
    <row r="20" spans="1:58">
      <c r="A20" s="82" t="s">
        <v>373</v>
      </c>
      <c r="B20" s="83">
        <v>3</v>
      </c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833"/>
      <c r="AD20" s="72" t="s">
        <v>191</v>
      </c>
      <c r="AE20" s="146" t="s">
        <v>314</v>
      </c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839"/>
    </row>
    <row r="21" spans="1:58">
      <c r="A21" s="82" t="s">
        <v>311</v>
      </c>
      <c r="B21" s="83">
        <v>3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833"/>
      <c r="AD21" s="72" t="s">
        <v>2</v>
      </c>
      <c r="AE21" s="146" t="s">
        <v>315</v>
      </c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839"/>
    </row>
    <row r="22" spans="1:58">
      <c r="A22" s="72" t="s">
        <v>0</v>
      </c>
      <c r="B22" s="83">
        <v>3</v>
      </c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833"/>
      <c r="AD22" s="195"/>
      <c r="AE22" s="34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839"/>
    </row>
    <row r="23" spans="1:58">
      <c r="A23" s="72"/>
      <c r="B23" s="73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834"/>
      <c r="AD23" s="72" t="s">
        <v>3</v>
      </c>
      <c r="AE23" s="146" t="s">
        <v>316</v>
      </c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840"/>
    </row>
    <row r="24" spans="1:58">
      <c r="A24" s="72" t="s">
        <v>312</v>
      </c>
      <c r="B24" s="73">
        <v>4</v>
      </c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833"/>
      <c r="AD24" s="72"/>
      <c r="AE24" s="73"/>
      <c r="AF24" s="2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839"/>
    </row>
    <row r="25" spans="1:58">
      <c r="A25" s="82" t="s">
        <v>1</v>
      </c>
      <c r="B25" s="83">
        <v>5</v>
      </c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833"/>
      <c r="AD25" s="72" t="s">
        <v>4</v>
      </c>
      <c r="AE25" s="59" t="s">
        <v>382</v>
      </c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839"/>
    </row>
    <row r="26" spans="1:58">
      <c r="A26" s="72" t="s">
        <v>313</v>
      </c>
      <c r="B26" s="83">
        <v>5</v>
      </c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833"/>
      <c r="AD26" s="72" t="s">
        <v>5</v>
      </c>
      <c r="AE26" s="59" t="s">
        <v>382</v>
      </c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839"/>
    </row>
    <row r="27" spans="1:58">
      <c r="A27" s="72"/>
      <c r="B27" s="73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833"/>
      <c r="AD27" s="181" t="s">
        <v>593</v>
      </c>
      <c r="AE27" s="59" t="s">
        <v>382</v>
      </c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839"/>
    </row>
    <row r="28" spans="1:58" ht="15.5" customHeight="1">
      <c r="A28" s="77" t="s">
        <v>258</v>
      </c>
      <c r="B28" s="78"/>
      <c r="C28" s="144">
        <f>SUM(C20:C27)</f>
        <v>0</v>
      </c>
      <c r="D28" s="144">
        <f>SUM(D20:D27)</f>
        <v>0</v>
      </c>
      <c r="E28" s="144">
        <f>SUM(E20:E27)</f>
        <v>0</v>
      </c>
      <c r="F28" s="144">
        <f t="shared" ref="F28:M28" si="8">SUM(F20:F27)</f>
        <v>0</v>
      </c>
      <c r="G28" s="144">
        <f t="shared" si="8"/>
        <v>0</v>
      </c>
      <c r="H28" s="144">
        <f t="shared" si="8"/>
        <v>0</v>
      </c>
      <c r="I28" s="144">
        <f t="shared" si="8"/>
        <v>0</v>
      </c>
      <c r="J28" s="144">
        <f t="shared" si="8"/>
        <v>0</v>
      </c>
      <c r="K28" s="144">
        <f t="shared" si="8"/>
        <v>0</v>
      </c>
      <c r="L28" s="144">
        <f t="shared" si="8"/>
        <v>0</v>
      </c>
      <c r="M28" s="144">
        <f t="shared" si="8"/>
        <v>0</v>
      </c>
      <c r="N28" s="144">
        <f t="shared" ref="N28:T28" si="9">SUM(N20:N27)</f>
        <v>0</v>
      </c>
      <c r="O28" s="144">
        <f t="shared" si="9"/>
        <v>0</v>
      </c>
      <c r="P28" s="144">
        <f t="shared" si="9"/>
        <v>0</v>
      </c>
      <c r="Q28" s="144">
        <f t="shared" si="9"/>
        <v>0</v>
      </c>
      <c r="R28" s="144">
        <f t="shared" si="9"/>
        <v>0</v>
      </c>
      <c r="S28" s="144">
        <f t="shared" si="9"/>
        <v>0</v>
      </c>
      <c r="T28" s="144">
        <f t="shared" si="9"/>
        <v>0</v>
      </c>
      <c r="U28" s="144">
        <f t="shared" ref="U28:AB28" si="10">SUM(U20:U27)</f>
        <v>0</v>
      </c>
      <c r="V28" s="144">
        <f t="shared" si="10"/>
        <v>0</v>
      </c>
      <c r="W28" s="144">
        <f t="shared" si="10"/>
        <v>0</v>
      </c>
      <c r="X28" s="144">
        <f t="shared" si="10"/>
        <v>0</v>
      </c>
      <c r="Y28" s="144">
        <f t="shared" si="10"/>
        <v>0</v>
      </c>
      <c r="Z28" s="144">
        <f t="shared" si="10"/>
        <v>0</v>
      </c>
      <c r="AA28" s="144">
        <f t="shared" si="10"/>
        <v>0</v>
      </c>
      <c r="AB28" s="144">
        <f t="shared" si="10"/>
        <v>0</v>
      </c>
      <c r="AC28" s="832"/>
      <c r="AD28" s="72"/>
      <c r="AE28" s="34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836"/>
    </row>
    <row r="29" spans="1:58" ht="15.5" customHeight="1">
      <c r="A29" s="72" t="s">
        <v>347</v>
      </c>
      <c r="B29" s="73">
        <v>1</v>
      </c>
      <c r="C29" s="142">
        <f>Bevételek!J287</f>
        <v>41634965</v>
      </c>
      <c r="D29" s="142">
        <f>Bevételek!K287</f>
        <v>0</v>
      </c>
      <c r="E29" s="142">
        <f>Bevételek!L287</f>
        <v>41634965</v>
      </c>
      <c r="F29" s="142">
        <f>Bevételek!M287</f>
        <v>0</v>
      </c>
      <c r="G29" s="142">
        <f>Bevételek!N287</f>
        <v>0</v>
      </c>
      <c r="H29" s="142">
        <f>Bevételek!O287</f>
        <v>0</v>
      </c>
      <c r="I29" s="142">
        <f>Bevételek!P287</f>
        <v>0</v>
      </c>
      <c r="J29" s="142">
        <f>Bevételek!Q287</f>
        <v>0</v>
      </c>
      <c r="K29" s="142">
        <f>Bevételek!R287</f>
        <v>0</v>
      </c>
      <c r="L29" s="142">
        <f>Bevételek!S287</f>
        <v>0</v>
      </c>
      <c r="M29" s="142">
        <f>Bevételek!T287</f>
        <v>41634965</v>
      </c>
      <c r="N29" s="142">
        <f>Bevételek!U287</f>
        <v>0</v>
      </c>
      <c r="O29" s="142">
        <f>Bevételek!V287</f>
        <v>0</v>
      </c>
      <c r="P29" s="142">
        <f>Bevételek!W287</f>
        <v>0</v>
      </c>
      <c r="Q29" s="142">
        <f>Bevételek!X287</f>
        <v>0</v>
      </c>
      <c r="R29" s="142">
        <f>Bevételek!Y287</f>
        <v>0</v>
      </c>
      <c r="S29" s="142">
        <f>Bevételek!Z287</f>
        <v>0</v>
      </c>
      <c r="T29" s="142">
        <f>Bevételek!AA287</f>
        <v>41634965</v>
      </c>
      <c r="U29" s="142">
        <f>Bevételek!AB287</f>
        <v>0</v>
      </c>
      <c r="V29" s="142">
        <f>Bevételek!AC287</f>
        <v>0</v>
      </c>
      <c r="W29" s="142">
        <f>Bevételek!AD287</f>
        <v>0</v>
      </c>
      <c r="X29" s="142">
        <f>Bevételek!AE287</f>
        <v>0</v>
      </c>
      <c r="Y29" s="142">
        <f>Bevételek!AF287</f>
        <v>0</v>
      </c>
      <c r="Z29" s="142">
        <f>Bevételek!AG287</f>
        <v>0</v>
      </c>
      <c r="AA29" s="142">
        <f>Bevételek!AH287</f>
        <v>41634965</v>
      </c>
      <c r="AB29" s="142">
        <f>Bevételek!AI287</f>
        <v>41634965</v>
      </c>
      <c r="AC29" s="834">
        <f>AB29/AA29*100</f>
        <v>100</v>
      </c>
      <c r="AD29" s="77" t="s">
        <v>265</v>
      </c>
      <c r="AE29" s="78">
        <v>8</v>
      </c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840"/>
    </row>
    <row r="30" spans="1:58" ht="15.5" customHeight="1">
      <c r="A30" s="72" t="s">
        <v>642</v>
      </c>
      <c r="B30" s="73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834"/>
      <c r="AD30" s="77"/>
      <c r="AE30" s="7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840"/>
    </row>
    <row r="31" spans="1:58" ht="15.5" customHeight="1">
      <c r="A31" s="72" t="s">
        <v>348</v>
      </c>
      <c r="B31" s="73">
        <v>2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832"/>
      <c r="AD31" s="77" t="s">
        <v>317</v>
      </c>
      <c r="AE31" s="89" t="s">
        <v>318</v>
      </c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836"/>
    </row>
    <row r="32" spans="1:58" ht="15.5" customHeight="1">
      <c r="A32" s="87" t="s">
        <v>259</v>
      </c>
      <c r="B32" s="88">
        <v>1</v>
      </c>
      <c r="C32" s="144">
        <f>Bevételek!J402</f>
        <v>41634965</v>
      </c>
      <c r="D32" s="144">
        <f>Bevételek!K402</f>
        <v>0</v>
      </c>
      <c r="E32" s="144">
        <f>Bevételek!L402</f>
        <v>41634965</v>
      </c>
      <c r="F32" s="144">
        <f>Bevételek!M402</f>
        <v>0</v>
      </c>
      <c r="G32" s="144">
        <f>Bevételek!N402</f>
        <v>0</v>
      </c>
      <c r="H32" s="144">
        <f>Bevételek!O402</f>
        <v>0</v>
      </c>
      <c r="I32" s="144">
        <f>Bevételek!P402</f>
        <v>0</v>
      </c>
      <c r="J32" s="144">
        <f>Bevételek!Q402</f>
        <v>0</v>
      </c>
      <c r="K32" s="144">
        <f>Bevételek!R402</f>
        <v>0</v>
      </c>
      <c r="L32" s="144">
        <f>Bevételek!S402</f>
        <v>0</v>
      </c>
      <c r="M32" s="144">
        <f>Bevételek!T402</f>
        <v>41634965</v>
      </c>
      <c r="N32" s="144">
        <f>Bevételek!U402</f>
        <v>0</v>
      </c>
      <c r="O32" s="144">
        <f>Bevételek!V402</f>
        <v>0</v>
      </c>
      <c r="P32" s="144">
        <f>Bevételek!W402</f>
        <v>0</v>
      </c>
      <c r="Q32" s="144">
        <f>Bevételek!X402</f>
        <v>0</v>
      </c>
      <c r="R32" s="144">
        <f>Bevételek!Y402</f>
        <v>0</v>
      </c>
      <c r="S32" s="144">
        <f>Bevételek!Z402</f>
        <v>0</v>
      </c>
      <c r="T32" s="144">
        <f>Bevételek!AA402</f>
        <v>41634965</v>
      </c>
      <c r="U32" s="144">
        <f>Bevételek!AB402</f>
        <v>0</v>
      </c>
      <c r="V32" s="144">
        <f>Bevételek!AC402</f>
        <v>0</v>
      </c>
      <c r="W32" s="144">
        <f>Bevételek!AD402</f>
        <v>0</v>
      </c>
      <c r="X32" s="144">
        <f>Bevételek!AE402</f>
        <v>0</v>
      </c>
      <c r="Y32" s="144">
        <f>Bevételek!AF402</f>
        <v>0</v>
      </c>
      <c r="Z32" s="144">
        <f>Bevételek!AG402</f>
        <v>0</v>
      </c>
      <c r="AA32" s="144">
        <f>Bevételek!AH402</f>
        <v>41634965</v>
      </c>
      <c r="AB32" s="144">
        <f>Bevételek!AI402</f>
        <v>41634965</v>
      </c>
      <c r="AC32" s="832">
        <f>AB32/AA32*100</f>
        <v>100</v>
      </c>
      <c r="AD32" s="197"/>
      <c r="AE32" s="35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836"/>
    </row>
    <row r="33" spans="1:58" ht="15.5" customHeight="1">
      <c r="A33" s="72" t="s">
        <v>240</v>
      </c>
      <c r="B33" s="73">
        <v>1</v>
      </c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834"/>
      <c r="AD33" s="195"/>
      <c r="AE33" s="34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840"/>
    </row>
    <row r="34" spans="1:58" ht="15.5" customHeight="1">
      <c r="A34" s="72" t="s">
        <v>241</v>
      </c>
      <c r="B34" s="73">
        <v>1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>
        <f>Bevételek!W454</f>
        <v>4048000</v>
      </c>
      <c r="Q34" s="142">
        <f>Bevételek!X454</f>
        <v>0</v>
      </c>
      <c r="R34" s="142">
        <f>Bevételek!Y454</f>
        <v>0</v>
      </c>
      <c r="S34" s="142">
        <f>Bevételek!Z454</f>
        <v>4048000</v>
      </c>
      <c r="T34" s="142">
        <f>Bevételek!AA454</f>
        <v>4048000</v>
      </c>
      <c r="U34" s="142">
        <f>Bevételek!AB454</f>
        <v>0</v>
      </c>
      <c r="V34" s="142">
        <f>Bevételek!AC454</f>
        <v>0</v>
      </c>
      <c r="W34" s="142">
        <f>Bevételek!AD454</f>
        <v>3511000</v>
      </c>
      <c r="X34" s="142">
        <f>Bevételek!AE454</f>
        <v>0</v>
      </c>
      <c r="Y34" s="142">
        <f>Bevételek!AF454</f>
        <v>0</v>
      </c>
      <c r="Z34" s="142">
        <f>Bevételek!AG454</f>
        <v>3511000</v>
      </c>
      <c r="AA34" s="142">
        <f>Bevételek!AH454</f>
        <v>7559000</v>
      </c>
      <c r="AB34" s="142">
        <f>Bevételek!AI454</f>
        <v>7559000</v>
      </c>
      <c r="AC34" s="834">
        <f>AB34/AA34*100</f>
        <v>100</v>
      </c>
      <c r="AD34" s="77" t="s">
        <v>12</v>
      </c>
      <c r="AE34" s="78">
        <v>5</v>
      </c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840"/>
    </row>
    <row r="35" spans="1:58" ht="15.5" customHeight="1">
      <c r="A35" s="72" t="s">
        <v>242</v>
      </c>
      <c r="B35" s="73">
        <v>2</v>
      </c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832"/>
      <c r="AD35" s="77"/>
      <c r="AE35" s="7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836"/>
    </row>
    <row r="36" spans="1:58" ht="15.5" customHeight="1">
      <c r="A36" s="72" t="s">
        <v>243</v>
      </c>
      <c r="B36" s="73">
        <v>2</v>
      </c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834"/>
      <c r="AD36" s="182" t="s">
        <v>529</v>
      </c>
      <c r="AE36" s="80">
        <v>5</v>
      </c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840"/>
    </row>
    <row r="37" spans="1:58" ht="15.5" customHeight="1">
      <c r="A37" s="77" t="s">
        <v>349</v>
      </c>
      <c r="B37" s="78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4">
        <f>SUM(P33:P36)</f>
        <v>4048000</v>
      </c>
      <c r="Q37" s="144">
        <f t="shared" ref="Q37:T37" si="11">SUM(Q33:Q36)</f>
        <v>0</v>
      </c>
      <c r="R37" s="144">
        <f t="shared" si="11"/>
        <v>0</v>
      </c>
      <c r="S37" s="144">
        <f t="shared" si="11"/>
        <v>4048000</v>
      </c>
      <c r="T37" s="144">
        <f t="shared" si="11"/>
        <v>4048000</v>
      </c>
      <c r="U37" s="144">
        <f t="shared" ref="U37:AB37" si="12">SUM(U33:U36)</f>
        <v>0</v>
      </c>
      <c r="V37" s="144">
        <f t="shared" si="12"/>
        <v>0</v>
      </c>
      <c r="W37" s="144">
        <f t="shared" si="12"/>
        <v>3511000</v>
      </c>
      <c r="X37" s="144">
        <f t="shared" si="12"/>
        <v>0</v>
      </c>
      <c r="Y37" s="144">
        <f t="shared" si="12"/>
        <v>0</v>
      </c>
      <c r="Z37" s="144">
        <f t="shared" si="12"/>
        <v>3511000</v>
      </c>
      <c r="AA37" s="144">
        <f t="shared" si="12"/>
        <v>7559000</v>
      </c>
      <c r="AB37" s="144">
        <f t="shared" si="12"/>
        <v>7559000</v>
      </c>
      <c r="AC37" s="832">
        <f>AB37/AA37*100</f>
        <v>100</v>
      </c>
      <c r="AD37" s="77"/>
      <c r="AE37" s="149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836"/>
    </row>
    <row r="38" spans="1:58" ht="15.5" customHeight="1">
      <c r="A38" s="72" t="s">
        <v>244</v>
      </c>
      <c r="B38" s="73">
        <v>6</v>
      </c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834"/>
      <c r="AD38" s="77"/>
      <c r="AE38" s="149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840"/>
    </row>
    <row r="39" spans="1:58" ht="15.5" customHeight="1">
      <c r="A39" s="72" t="s">
        <v>245</v>
      </c>
      <c r="B39" s="73">
        <v>6</v>
      </c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834"/>
      <c r="AD39" s="77"/>
      <c r="AE39" s="149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840"/>
    </row>
    <row r="40" spans="1:58" ht="15.5" customHeight="1">
      <c r="A40" s="72" t="s">
        <v>247</v>
      </c>
      <c r="B40" s="73">
        <v>7</v>
      </c>
      <c r="C40" s="144">
        <f>SUM(C36:C39)</f>
        <v>0</v>
      </c>
      <c r="D40" s="144">
        <f>SUM(D36:D39)</f>
        <v>0</v>
      </c>
      <c r="E40" s="144">
        <f>SUM(E36:E39)</f>
        <v>0</v>
      </c>
      <c r="F40" s="144">
        <f t="shared" ref="F40:M40" si="13">SUM(F36:F39)</f>
        <v>0</v>
      </c>
      <c r="G40" s="144">
        <f t="shared" si="13"/>
        <v>0</v>
      </c>
      <c r="H40" s="144">
        <f t="shared" si="13"/>
        <v>0</v>
      </c>
      <c r="I40" s="144">
        <f t="shared" si="13"/>
        <v>0</v>
      </c>
      <c r="J40" s="144">
        <f t="shared" si="13"/>
        <v>0</v>
      </c>
      <c r="K40" s="144">
        <f t="shared" si="13"/>
        <v>0</v>
      </c>
      <c r="L40" s="144">
        <f t="shared" si="13"/>
        <v>0</v>
      </c>
      <c r="M40" s="144">
        <f t="shared" si="13"/>
        <v>0</v>
      </c>
      <c r="N40" s="144">
        <f t="shared" ref="N40:O40" si="14">SUM(N36:N39)</f>
        <v>0</v>
      </c>
      <c r="O40" s="144">
        <f t="shared" si="14"/>
        <v>0</v>
      </c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832"/>
      <c r="AD40" s="77"/>
      <c r="AE40" s="149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836"/>
    </row>
    <row r="41" spans="1:58" ht="15.5" customHeight="1">
      <c r="A41" s="72" t="s">
        <v>246</v>
      </c>
      <c r="B41" s="73">
        <v>7</v>
      </c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834"/>
      <c r="AD41" s="77"/>
      <c r="AE41" s="149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840"/>
    </row>
    <row r="42" spans="1:58" ht="15.5" customHeight="1">
      <c r="A42" s="77" t="s">
        <v>263</v>
      </c>
      <c r="B42" s="78"/>
      <c r="C42" s="142"/>
      <c r="D42" s="142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834"/>
      <c r="AD42" s="195"/>
      <c r="AE42" s="31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840"/>
    </row>
    <row r="43" spans="1:58" ht="15.5" customHeight="1">
      <c r="A43" s="77" t="s">
        <v>148</v>
      </c>
      <c r="B43" s="89" t="s">
        <v>320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834"/>
      <c r="AD43" s="195"/>
      <c r="AE43" s="31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840"/>
    </row>
    <row r="44" spans="1:58" ht="15.5" customHeight="1">
      <c r="A44" s="90" t="s">
        <v>150</v>
      </c>
      <c r="B44" s="91"/>
      <c r="C44" s="144">
        <f>C32+C18+C28</f>
        <v>42049965</v>
      </c>
      <c r="D44" s="144">
        <f>D32+D18+D28</f>
        <v>0</v>
      </c>
      <c r="E44" s="144">
        <f>E32+E18+E28</f>
        <v>42049965</v>
      </c>
      <c r="F44" s="144">
        <f t="shared" ref="F44:L44" si="15">F32+F18+F28</f>
        <v>421527</v>
      </c>
      <c r="G44" s="144">
        <f t="shared" si="15"/>
        <v>0</v>
      </c>
      <c r="H44" s="144">
        <f t="shared" si="15"/>
        <v>0</v>
      </c>
      <c r="I44" s="144">
        <f t="shared" si="15"/>
        <v>0</v>
      </c>
      <c r="J44" s="144">
        <f t="shared" si="15"/>
        <v>0</v>
      </c>
      <c r="K44" s="144">
        <f t="shared" si="15"/>
        <v>0</v>
      </c>
      <c r="L44" s="144">
        <f t="shared" si="15"/>
        <v>421527</v>
      </c>
      <c r="M44" s="144">
        <f>M32+M18+M28+M37</f>
        <v>42471492</v>
      </c>
      <c r="N44" s="144">
        <f t="shared" ref="N44:T44" si="16">N32+N18+N28+N37</f>
        <v>0</v>
      </c>
      <c r="O44" s="144">
        <f t="shared" si="16"/>
        <v>0</v>
      </c>
      <c r="P44" s="144">
        <f t="shared" si="16"/>
        <v>4048000</v>
      </c>
      <c r="Q44" s="144">
        <f t="shared" si="16"/>
        <v>0</v>
      </c>
      <c r="R44" s="144">
        <f t="shared" si="16"/>
        <v>0</v>
      </c>
      <c r="S44" s="144">
        <f t="shared" si="16"/>
        <v>4048000</v>
      </c>
      <c r="T44" s="144">
        <f t="shared" si="16"/>
        <v>46519492</v>
      </c>
      <c r="U44" s="144">
        <f t="shared" ref="U44:AB44" si="17">U32+U18+U28+U37</f>
        <v>0</v>
      </c>
      <c r="V44" s="144">
        <f t="shared" si="17"/>
        <v>0</v>
      </c>
      <c r="W44" s="144">
        <f t="shared" si="17"/>
        <v>3511000</v>
      </c>
      <c r="X44" s="144">
        <f t="shared" si="17"/>
        <v>0</v>
      </c>
      <c r="Y44" s="144">
        <f t="shared" si="17"/>
        <v>0</v>
      </c>
      <c r="Z44" s="144">
        <f t="shared" si="17"/>
        <v>3511000</v>
      </c>
      <c r="AA44" s="144">
        <f t="shared" si="17"/>
        <v>50030492</v>
      </c>
      <c r="AB44" s="144">
        <f t="shared" si="17"/>
        <v>50076147</v>
      </c>
      <c r="AC44" s="832">
        <f>AB44/AA44*100</f>
        <v>100.09125434944752</v>
      </c>
      <c r="AD44" s="90" t="s">
        <v>184</v>
      </c>
      <c r="AE44" s="150"/>
      <c r="AF44" s="144">
        <f>SUM(AF18:AF43)</f>
        <v>42049965</v>
      </c>
      <c r="AG44" s="144">
        <f>SUM(AG18:AG43)</f>
        <v>0</v>
      </c>
      <c r="AH44" s="144">
        <f>SUM(AH18:AH43)</f>
        <v>42049965</v>
      </c>
      <c r="AI44" s="144">
        <f t="shared" ref="AI44" si="18">SUM(AI18:AI43)</f>
        <v>421527</v>
      </c>
      <c r="AJ44" s="144">
        <f t="shared" ref="AJ44:AP44" si="19">SUM(AJ18:AJ43)</f>
        <v>0</v>
      </c>
      <c r="AK44" s="144">
        <f t="shared" si="19"/>
        <v>0</v>
      </c>
      <c r="AL44" s="144">
        <f t="shared" si="19"/>
        <v>0</v>
      </c>
      <c r="AM44" s="144">
        <f t="shared" si="19"/>
        <v>-227000</v>
      </c>
      <c r="AN44" s="144">
        <f t="shared" si="19"/>
        <v>0</v>
      </c>
      <c r="AO44" s="144">
        <f t="shared" si="19"/>
        <v>194527</v>
      </c>
      <c r="AP44" s="144">
        <f t="shared" si="19"/>
        <v>42244492</v>
      </c>
      <c r="AQ44" s="144">
        <f t="shared" ref="AQ44:AW44" si="20">SUM(AQ18:AQ43)</f>
        <v>0</v>
      </c>
      <c r="AR44" s="144">
        <f t="shared" si="20"/>
        <v>0</v>
      </c>
      <c r="AS44" s="144">
        <f t="shared" si="20"/>
        <v>4048000</v>
      </c>
      <c r="AT44" s="144">
        <f t="shared" si="20"/>
        <v>0</v>
      </c>
      <c r="AU44" s="144">
        <f t="shared" si="20"/>
        <v>0</v>
      </c>
      <c r="AV44" s="144">
        <f t="shared" si="20"/>
        <v>4048000</v>
      </c>
      <c r="AW44" s="144">
        <f t="shared" si="20"/>
        <v>46292492</v>
      </c>
      <c r="AX44" s="144">
        <f t="shared" ref="AX44:BE44" si="21">SUM(AX18:AX43)</f>
        <v>0</v>
      </c>
      <c r="AY44" s="144">
        <f t="shared" si="21"/>
        <v>2963429</v>
      </c>
      <c r="AZ44" s="144">
        <f t="shared" si="21"/>
        <v>3511000</v>
      </c>
      <c r="BA44" s="144">
        <f t="shared" si="21"/>
        <v>0</v>
      </c>
      <c r="BB44" s="144">
        <f t="shared" si="21"/>
        <v>0</v>
      </c>
      <c r="BC44" s="144">
        <f t="shared" si="21"/>
        <v>6474429</v>
      </c>
      <c r="BD44" s="144">
        <f t="shared" si="21"/>
        <v>52766921</v>
      </c>
      <c r="BE44" s="144">
        <f t="shared" si="21"/>
        <v>51323630</v>
      </c>
      <c r="BF44" s="836">
        <f>BE44/BD44*100</f>
        <v>97.264780713659604</v>
      </c>
    </row>
    <row r="45" spans="1:58" ht="15.5" customHeight="1">
      <c r="A45" s="72" t="s">
        <v>260</v>
      </c>
      <c r="B45" s="73">
        <v>8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834"/>
      <c r="AD45" s="195"/>
      <c r="AE45" s="31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840"/>
    </row>
    <row r="46" spans="1:58" ht="15.5" customHeight="1">
      <c r="A46" s="72" t="s">
        <v>149</v>
      </c>
      <c r="B46" s="73">
        <v>8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834"/>
      <c r="AD46" s="77" t="s">
        <v>371</v>
      </c>
      <c r="AE46" s="78">
        <v>9</v>
      </c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840"/>
    </row>
    <row r="47" spans="1:58" ht="15.5" customHeight="1">
      <c r="A47" s="72" t="s">
        <v>594</v>
      </c>
      <c r="B47" s="73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834"/>
      <c r="AD47" s="77"/>
      <c r="AE47" s="78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840"/>
    </row>
    <row r="48" spans="1:58" ht="15.5" customHeight="1">
      <c r="A48" s="72" t="s">
        <v>380</v>
      </c>
      <c r="B48" s="73">
        <v>8</v>
      </c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831"/>
      <c r="AD48" s="182" t="s">
        <v>381</v>
      </c>
      <c r="AE48" s="80">
        <v>9</v>
      </c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38"/>
    </row>
    <row r="49" spans="1:58" ht="15.5" customHeight="1" thickBot="1">
      <c r="A49" s="190" t="s">
        <v>6</v>
      </c>
      <c r="B49" s="191">
        <v>8</v>
      </c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835"/>
      <c r="AD49" s="190" t="s">
        <v>7</v>
      </c>
      <c r="AE49" s="230"/>
      <c r="AF49" s="231"/>
      <c r="AG49" s="192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2"/>
      <c r="BB49" s="192"/>
      <c r="BC49" s="192"/>
      <c r="BD49" s="192"/>
      <c r="BE49" s="192"/>
      <c r="BF49" s="841"/>
    </row>
    <row r="50" spans="1:58" ht="17" customHeight="1" thickBot="1">
      <c r="A50" s="188" t="s">
        <v>24</v>
      </c>
      <c r="B50" s="188"/>
      <c r="C50" s="189">
        <f>SUM(C44:C49)</f>
        <v>42049965</v>
      </c>
      <c r="D50" s="189">
        <f>SUM(D44:D49)</f>
        <v>0</v>
      </c>
      <c r="E50" s="189">
        <f>SUM(E44:E49)</f>
        <v>42049965</v>
      </c>
      <c r="F50" s="189">
        <f t="shared" ref="F50:M50" si="22">SUM(F44:F49)</f>
        <v>421527</v>
      </c>
      <c r="G50" s="189">
        <f t="shared" si="22"/>
        <v>0</v>
      </c>
      <c r="H50" s="189">
        <f t="shared" si="22"/>
        <v>0</v>
      </c>
      <c r="I50" s="189">
        <f t="shared" si="22"/>
        <v>0</v>
      </c>
      <c r="J50" s="189">
        <f t="shared" si="22"/>
        <v>0</v>
      </c>
      <c r="K50" s="189">
        <f t="shared" si="22"/>
        <v>0</v>
      </c>
      <c r="L50" s="189">
        <f t="shared" si="22"/>
        <v>421527</v>
      </c>
      <c r="M50" s="189">
        <f t="shared" si="22"/>
        <v>42471492</v>
      </c>
      <c r="N50" s="189">
        <f t="shared" ref="N50:T50" si="23">SUM(N44:N49)</f>
        <v>0</v>
      </c>
      <c r="O50" s="189">
        <f t="shared" si="23"/>
        <v>0</v>
      </c>
      <c r="P50" s="189">
        <f t="shared" si="23"/>
        <v>4048000</v>
      </c>
      <c r="Q50" s="189">
        <f t="shared" si="23"/>
        <v>0</v>
      </c>
      <c r="R50" s="189">
        <f t="shared" si="23"/>
        <v>0</v>
      </c>
      <c r="S50" s="189">
        <f t="shared" si="23"/>
        <v>4048000</v>
      </c>
      <c r="T50" s="189">
        <f t="shared" si="23"/>
        <v>46519492</v>
      </c>
      <c r="U50" s="189">
        <f t="shared" ref="U50:AB50" si="24">SUM(U44:U49)</f>
        <v>0</v>
      </c>
      <c r="V50" s="189">
        <f t="shared" si="24"/>
        <v>0</v>
      </c>
      <c r="W50" s="189">
        <f t="shared" si="24"/>
        <v>3511000</v>
      </c>
      <c r="X50" s="189">
        <f t="shared" si="24"/>
        <v>0</v>
      </c>
      <c r="Y50" s="189">
        <f t="shared" si="24"/>
        <v>0</v>
      </c>
      <c r="Z50" s="189">
        <f t="shared" si="24"/>
        <v>3511000</v>
      </c>
      <c r="AA50" s="189">
        <f t="shared" si="24"/>
        <v>50030492</v>
      </c>
      <c r="AB50" s="189">
        <f t="shared" si="24"/>
        <v>50076147</v>
      </c>
      <c r="AC50" s="827">
        <f>AB50/AA50*100</f>
        <v>100.09125434944752</v>
      </c>
      <c r="AD50" s="188" t="s">
        <v>60</v>
      </c>
      <c r="AE50" s="188"/>
      <c r="AF50" s="229">
        <f>AF49+AF44</f>
        <v>42049965</v>
      </c>
      <c r="AG50" s="229">
        <f>SUM(AG44:AG46)</f>
        <v>0</v>
      </c>
      <c r="AH50" s="229">
        <f>SUM(AH44:AH46)</f>
        <v>42049965</v>
      </c>
      <c r="AI50" s="229">
        <f t="shared" ref="AI50" si="25">SUM(AI44:AI46)</f>
        <v>421527</v>
      </c>
      <c r="AJ50" s="229">
        <f t="shared" ref="AJ50:AP50" si="26">SUM(AJ44:AJ46)</f>
        <v>0</v>
      </c>
      <c r="AK50" s="229">
        <f t="shared" si="26"/>
        <v>0</v>
      </c>
      <c r="AL50" s="229">
        <f t="shared" si="26"/>
        <v>0</v>
      </c>
      <c r="AM50" s="229">
        <f t="shared" si="26"/>
        <v>-227000</v>
      </c>
      <c r="AN50" s="229">
        <f t="shared" si="26"/>
        <v>0</v>
      </c>
      <c r="AO50" s="229">
        <f t="shared" si="26"/>
        <v>194527</v>
      </c>
      <c r="AP50" s="229">
        <f t="shared" si="26"/>
        <v>42244492</v>
      </c>
      <c r="AQ50" s="229">
        <f t="shared" ref="AQ50:AW50" si="27">SUM(AQ44:AQ46)</f>
        <v>0</v>
      </c>
      <c r="AR50" s="229">
        <f t="shared" si="27"/>
        <v>0</v>
      </c>
      <c r="AS50" s="229">
        <f t="shared" si="27"/>
        <v>4048000</v>
      </c>
      <c r="AT50" s="229">
        <f t="shared" si="27"/>
        <v>0</v>
      </c>
      <c r="AU50" s="229">
        <f t="shared" si="27"/>
        <v>0</v>
      </c>
      <c r="AV50" s="229">
        <f t="shared" si="27"/>
        <v>4048000</v>
      </c>
      <c r="AW50" s="229">
        <f t="shared" si="27"/>
        <v>46292492</v>
      </c>
      <c r="AX50" s="229">
        <f t="shared" ref="AX50:BE50" si="28">SUM(AX44:AX46)</f>
        <v>0</v>
      </c>
      <c r="AY50" s="229">
        <f t="shared" si="28"/>
        <v>2963429</v>
      </c>
      <c r="AZ50" s="229">
        <f t="shared" si="28"/>
        <v>3511000</v>
      </c>
      <c r="BA50" s="229">
        <f t="shared" si="28"/>
        <v>0</v>
      </c>
      <c r="BB50" s="229">
        <f t="shared" si="28"/>
        <v>0</v>
      </c>
      <c r="BC50" s="229">
        <f t="shared" si="28"/>
        <v>6474429</v>
      </c>
      <c r="BD50" s="229">
        <f t="shared" si="28"/>
        <v>52766921</v>
      </c>
      <c r="BE50" s="229">
        <f t="shared" si="28"/>
        <v>51323630</v>
      </c>
      <c r="BF50" s="842">
        <f>BE50/BD50*100</f>
        <v>97.264780713659604</v>
      </c>
    </row>
    <row r="52" spans="1:58">
      <c r="C52" s="16">
        <f>C45-AF46</f>
        <v>0</v>
      </c>
      <c r="D52" s="16">
        <f>D45-AG46</f>
        <v>0</v>
      </c>
      <c r="E52" s="16">
        <f>E45-AH46</f>
        <v>0</v>
      </c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4" spans="1:58">
      <c r="A54" s="1"/>
      <c r="B54" s="1"/>
    </row>
    <row r="55" spans="1:58" s="17" customFormat="1" ht="1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238"/>
      <c r="AD55" s="3"/>
      <c r="AE55" s="3"/>
      <c r="AF55" s="3"/>
      <c r="AG55" s="3"/>
      <c r="AH55" s="3"/>
      <c r="AI55" s="3"/>
      <c r="AJ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238"/>
    </row>
  </sheetData>
  <mergeCells count="24">
    <mergeCell ref="AX6:BC6"/>
    <mergeCell ref="BD6:BD7"/>
    <mergeCell ref="BE6:BE7"/>
    <mergeCell ref="BF6:BF7"/>
    <mergeCell ref="AD5:BF5"/>
    <mergeCell ref="AQ6:AV6"/>
    <mergeCell ref="AW6:AW7"/>
    <mergeCell ref="AP6:AP7"/>
    <mergeCell ref="AI6:AO6"/>
    <mergeCell ref="AD6:AD7"/>
    <mergeCell ref="AE6:AE7"/>
    <mergeCell ref="AH6:AH7"/>
    <mergeCell ref="U6:Z6"/>
    <mergeCell ref="AA6:AA7"/>
    <mergeCell ref="AB6:AB7"/>
    <mergeCell ref="AC6:AC7"/>
    <mergeCell ref="A5:AC5"/>
    <mergeCell ref="E6:E7"/>
    <mergeCell ref="B6:B7"/>
    <mergeCell ref="A6:A7"/>
    <mergeCell ref="F6:L6"/>
    <mergeCell ref="M6:M7"/>
    <mergeCell ref="T6:T7"/>
    <mergeCell ref="N6:S6"/>
  </mergeCells>
  <printOptions horizontalCentered="1"/>
  <pageMargins left="0.31496062992125984" right="0.31496062992125984" top="0.47244094488188981" bottom="0.35433070866141736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9"/>
  <sheetViews>
    <sheetView showGridLines="0" zoomScaleNormal="100" workbookViewId="0">
      <selection activeCell="A52" sqref="A52"/>
    </sheetView>
  </sheetViews>
  <sheetFormatPr defaultColWidth="9.1796875" defaultRowHeight="13"/>
  <cols>
    <col min="1" max="1" width="59.6328125" style="3" customWidth="1"/>
    <col min="2" max="2" width="6.1796875" style="3" customWidth="1"/>
    <col min="3" max="3" width="12.54296875" style="60" hidden="1" customWidth="1"/>
    <col min="4" max="4" width="12.36328125" style="60" hidden="1" customWidth="1"/>
    <col min="5" max="5" width="14.453125" style="60" customWidth="1"/>
    <col min="6" max="6" width="11.81640625" style="60" hidden="1" customWidth="1"/>
    <col min="7" max="8" width="10.453125" style="60" hidden="1" customWidth="1"/>
    <col min="9" max="9" width="10" style="60" hidden="1" customWidth="1"/>
    <col min="10" max="10" width="11.90625" style="60" hidden="1" customWidth="1"/>
    <col min="11" max="11" width="10.6328125" style="60" hidden="1" customWidth="1"/>
    <col min="12" max="13" width="12.7265625" style="60" hidden="1" customWidth="1"/>
    <col min="14" max="15" width="10.453125" style="60" hidden="1" customWidth="1"/>
    <col min="16" max="16" width="10" style="60" hidden="1" customWidth="1"/>
    <col min="17" max="17" width="11.90625" style="60" hidden="1" customWidth="1"/>
    <col min="18" max="18" width="10.6328125" style="60" hidden="1" customWidth="1"/>
    <col min="19" max="20" width="12.7265625" style="60" hidden="1" customWidth="1"/>
    <col min="21" max="21" width="12.08984375" style="60" hidden="1" customWidth="1"/>
    <col min="22" max="22" width="12.26953125" style="60" hidden="1" customWidth="1"/>
    <col min="23" max="23" width="11.6328125" style="60" hidden="1" customWidth="1"/>
    <col min="24" max="24" width="11" style="60" hidden="1" customWidth="1"/>
    <col min="25" max="25" width="9.7265625" style="60" hidden="1" customWidth="1"/>
    <col min="26" max="26" width="12.7265625" style="60" hidden="1" customWidth="1"/>
    <col min="27" max="27" width="13.81640625" style="60" customWidth="1"/>
    <col min="28" max="28" width="13.26953125" style="60" customWidth="1"/>
    <col min="29" max="29" width="8.54296875" style="238" customWidth="1"/>
    <col min="30" max="30" width="48.453125" style="60" customWidth="1"/>
    <col min="31" max="31" width="6.26953125" style="60" customWidth="1"/>
    <col min="32" max="32" width="12.54296875" style="60" hidden="1" customWidth="1"/>
    <col min="33" max="33" width="12.453125" style="60" hidden="1" customWidth="1"/>
    <col min="34" max="34" width="12.81640625" style="60" customWidth="1"/>
    <col min="35" max="35" width="11.7265625" style="60" hidden="1" customWidth="1"/>
    <col min="36" max="36" width="10.54296875" style="60" hidden="1" customWidth="1"/>
    <col min="37" max="37" width="10.6328125" style="60" hidden="1" customWidth="1"/>
    <col min="38" max="38" width="9.453125" style="60" hidden="1" customWidth="1"/>
    <col min="39" max="39" width="12.26953125" style="60" hidden="1" customWidth="1"/>
    <col min="40" max="40" width="10.90625" style="60" hidden="1" customWidth="1"/>
    <col min="41" max="42" width="12.26953125" style="60" hidden="1" customWidth="1"/>
    <col min="43" max="43" width="10.54296875" style="60" hidden="1" customWidth="1"/>
    <col min="44" max="44" width="10.6328125" style="60" hidden="1" customWidth="1"/>
    <col min="45" max="45" width="9.453125" style="60" hidden="1" customWidth="1"/>
    <col min="46" max="46" width="12.26953125" style="60" hidden="1" customWidth="1"/>
    <col min="47" max="47" width="10.90625" style="60" hidden="1" customWidth="1"/>
    <col min="48" max="48" width="12.26953125" style="60" hidden="1" customWidth="1"/>
    <col min="49" max="49" width="12.7265625" style="60" hidden="1" customWidth="1"/>
    <col min="50" max="50" width="11.6328125" style="60" hidden="1" customWidth="1"/>
    <col min="51" max="51" width="12.453125" style="60" hidden="1" customWidth="1"/>
    <col min="52" max="52" width="11.1796875" style="60" hidden="1" customWidth="1"/>
    <col min="53" max="53" width="12.26953125" style="60" hidden="1" customWidth="1"/>
    <col min="54" max="54" width="10.26953125" style="60" hidden="1" customWidth="1"/>
    <col min="55" max="55" width="12.26953125" style="60" hidden="1" customWidth="1"/>
    <col min="56" max="56" width="13.08984375" style="60" customWidth="1"/>
    <col min="57" max="57" width="12.08984375" style="60" customWidth="1"/>
    <col min="58" max="58" width="7.1796875" style="238" customWidth="1"/>
    <col min="59" max="16384" width="9.1796875" style="3"/>
  </cols>
  <sheetData>
    <row r="1" spans="1:58" ht="12" customHeight="1">
      <c r="A1" s="10" t="s">
        <v>30</v>
      </c>
      <c r="B1" s="10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682"/>
      <c r="AD1" s="54"/>
      <c r="AE1" s="54"/>
      <c r="AF1" s="54"/>
      <c r="AG1" s="54"/>
      <c r="AI1" s="56"/>
      <c r="AJ1" s="56"/>
      <c r="AK1" s="56"/>
      <c r="AL1" s="56"/>
      <c r="AM1" s="56"/>
      <c r="AN1" s="56"/>
      <c r="AO1" s="56"/>
      <c r="AP1" s="237"/>
      <c r="AQ1" s="56"/>
      <c r="AR1" s="56"/>
      <c r="AS1" s="56"/>
      <c r="AT1" s="56"/>
      <c r="AU1" s="56"/>
      <c r="AV1" s="56"/>
      <c r="AW1" s="237"/>
      <c r="AX1" s="56"/>
      <c r="AY1" s="56"/>
      <c r="AZ1" s="56"/>
      <c r="BA1" s="56"/>
      <c r="BB1" s="56"/>
      <c r="BC1" s="56"/>
      <c r="BE1" s="53"/>
      <c r="BF1" s="237" t="s">
        <v>679</v>
      </c>
    </row>
    <row r="2" spans="1:58" ht="19" customHeight="1">
      <c r="A2" s="14"/>
      <c r="B2" s="14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682"/>
      <c r="AD2" s="54"/>
      <c r="AE2" s="54"/>
      <c r="AF2" s="54"/>
      <c r="AG2" s="54"/>
      <c r="AP2" s="238"/>
      <c r="AW2" s="682"/>
      <c r="BE2" s="53"/>
      <c r="BF2" s="682"/>
    </row>
    <row r="3" spans="1:58" ht="19" customHeight="1">
      <c r="A3" s="14"/>
      <c r="B3" s="14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682"/>
      <c r="AD3" s="54"/>
      <c r="AE3" s="54"/>
      <c r="AF3" s="54"/>
      <c r="AG3" s="54"/>
      <c r="AP3" s="238"/>
      <c r="AW3" s="682"/>
      <c r="BE3" s="53"/>
      <c r="BF3" s="682"/>
    </row>
    <row r="4" spans="1:58" s="21" customFormat="1" ht="22" customHeight="1" thickBot="1">
      <c r="A4" s="98"/>
      <c r="B4" s="98"/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49"/>
      <c r="P4" s="649"/>
      <c r="Q4" s="649"/>
      <c r="R4" s="649"/>
      <c r="S4" s="649"/>
      <c r="T4" s="649"/>
      <c r="U4" s="649"/>
      <c r="V4" s="649"/>
      <c r="W4" s="649"/>
      <c r="X4" s="649"/>
      <c r="Y4" s="649"/>
      <c r="Z4" s="649"/>
      <c r="AA4" s="649"/>
      <c r="AB4" s="649"/>
      <c r="AC4" s="817"/>
      <c r="AD4" s="650"/>
      <c r="AE4" s="650"/>
      <c r="AF4" s="650"/>
      <c r="AG4" s="650"/>
      <c r="AH4" s="652"/>
      <c r="AI4" s="653"/>
      <c r="AJ4" s="653"/>
      <c r="AK4" s="653"/>
      <c r="AL4" s="653"/>
      <c r="AM4" s="653"/>
      <c r="AN4" s="653"/>
      <c r="AO4" s="653"/>
      <c r="AP4" s="657"/>
      <c r="AQ4" s="653"/>
      <c r="AR4" s="653"/>
      <c r="AS4" s="653"/>
      <c r="AT4" s="653"/>
      <c r="AU4" s="653"/>
      <c r="AV4" s="653"/>
      <c r="AW4" s="237"/>
      <c r="AX4" s="653"/>
      <c r="AY4" s="653"/>
      <c r="AZ4" s="653"/>
      <c r="BA4" s="653"/>
      <c r="BB4" s="653"/>
      <c r="BC4" s="653"/>
      <c r="BE4" s="649"/>
      <c r="BF4" s="237" t="s">
        <v>378</v>
      </c>
    </row>
    <row r="5" spans="1:58" s="21" customFormat="1" ht="18" thickBot="1">
      <c r="A5" s="986" t="s">
        <v>61</v>
      </c>
      <c r="B5" s="987"/>
      <c r="C5" s="987"/>
      <c r="D5" s="987"/>
      <c r="E5" s="987"/>
      <c r="F5" s="987"/>
      <c r="G5" s="987"/>
      <c r="H5" s="987"/>
      <c r="I5" s="987"/>
      <c r="J5" s="987"/>
      <c r="K5" s="987"/>
      <c r="L5" s="987"/>
      <c r="M5" s="987"/>
      <c r="N5" s="987"/>
      <c r="O5" s="987"/>
      <c r="P5" s="987"/>
      <c r="Q5" s="987"/>
      <c r="R5" s="987"/>
      <c r="S5" s="987"/>
      <c r="T5" s="987"/>
      <c r="U5" s="987"/>
      <c r="V5" s="987"/>
      <c r="W5" s="987"/>
      <c r="X5" s="987"/>
      <c r="Y5" s="987"/>
      <c r="Z5" s="987"/>
      <c r="AA5" s="987"/>
      <c r="AB5" s="987"/>
      <c r="AC5" s="988"/>
      <c r="AD5" s="993" t="s">
        <v>62</v>
      </c>
      <c r="AE5" s="993"/>
      <c r="AF5" s="993"/>
      <c r="AG5" s="993"/>
      <c r="AH5" s="993"/>
      <c r="AI5" s="993"/>
      <c r="AJ5" s="993"/>
      <c r="AK5" s="993"/>
      <c r="AL5" s="993"/>
      <c r="AM5" s="993"/>
      <c r="AN5" s="993"/>
      <c r="AO5" s="993"/>
      <c r="AP5" s="993"/>
      <c r="AQ5" s="993"/>
      <c r="AR5" s="993"/>
      <c r="AS5" s="993"/>
      <c r="AT5" s="993"/>
      <c r="AU5" s="993"/>
      <c r="AV5" s="993"/>
      <c r="AW5" s="993"/>
      <c r="AX5" s="993"/>
      <c r="AY5" s="993"/>
      <c r="AZ5" s="993"/>
      <c r="BA5" s="993"/>
      <c r="BB5" s="993"/>
      <c r="BC5" s="993"/>
      <c r="BD5" s="993"/>
      <c r="BE5" s="993"/>
      <c r="BF5" s="993"/>
    </row>
    <row r="6" spans="1:58" s="21" customFormat="1" ht="16.5" customHeight="1" thickBot="1">
      <c r="A6" s="989" t="s">
        <v>106</v>
      </c>
      <c r="B6" s="989" t="s">
        <v>310</v>
      </c>
      <c r="C6" s="681"/>
      <c r="D6" s="681"/>
      <c r="E6" s="984" t="s">
        <v>535</v>
      </c>
      <c r="F6" s="985" t="s">
        <v>606</v>
      </c>
      <c r="G6" s="985"/>
      <c r="H6" s="985"/>
      <c r="I6" s="985"/>
      <c r="J6" s="985"/>
      <c r="K6" s="985"/>
      <c r="L6" s="985"/>
      <c r="M6" s="981" t="s">
        <v>605</v>
      </c>
      <c r="N6" s="990" t="s">
        <v>606</v>
      </c>
      <c r="O6" s="991"/>
      <c r="P6" s="991"/>
      <c r="Q6" s="991"/>
      <c r="R6" s="991"/>
      <c r="S6" s="992"/>
      <c r="T6" s="981" t="s">
        <v>650</v>
      </c>
      <c r="U6" s="990" t="s">
        <v>606</v>
      </c>
      <c r="V6" s="991"/>
      <c r="W6" s="991"/>
      <c r="X6" s="991"/>
      <c r="Y6" s="991"/>
      <c r="Z6" s="992"/>
      <c r="AA6" s="981" t="s">
        <v>672</v>
      </c>
      <c r="AB6" s="981" t="s">
        <v>673</v>
      </c>
      <c r="AC6" s="982" t="s">
        <v>677</v>
      </c>
      <c r="AD6" s="989" t="s">
        <v>106</v>
      </c>
      <c r="AE6" s="989" t="s">
        <v>310</v>
      </c>
      <c r="AF6" s="681"/>
      <c r="AG6" s="681"/>
      <c r="AH6" s="984" t="s">
        <v>535</v>
      </c>
      <c r="AI6" s="985" t="s">
        <v>606</v>
      </c>
      <c r="AJ6" s="985"/>
      <c r="AK6" s="985"/>
      <c r="AL6" s="985"/>
      <c r="AM6" s="985"/>
      <c r="AN6" s="985"/>
      <c r="AO6" s="985"/>
      <c r="AP6" s="981" t="s">
        <v>605</v>
      </c>
      <c r="AQ6" s="983" t="s">
        <v>606</v>
      </c>
      <c r="AR6" s="983"/>
      <c r="AS6" s="983"/>
      <c r="AT6" s="983"/>
      <c r="AU6" s="983"/>
      <c r="AV6" s="983"/>
      <c r="AW6" s="981" t="s">
        <v>650</v>
      </c>
      <c r="AX6" s="983" t="s">
        <v>606</v>
      </c>
      <c r="AY6" s="983"/>
      <c r="AZ6" s="983"/>
      <c r="BA6" s="983"/>
      <c r="BB6" s="983"/>
      <c r="BC6" s="983"/>
      <c r="BD6" s="981" t="s">
        <v>672</v>
      </c>
      <c r="BE6" s="981" t="s">
        <v>673</v>
      </c>
      <c r="BF6" s="982" t="s">
        <v>677</v>
      </c>
    </row>
    <row r="7" spans="1:58" s="21" customFormat="1" ht="67.5" customHeight="1" thickBot="1">
      <c r="A7" s="989"/>
      <c r="B7" s="989"/>
      <c r="C7" s="708" t="s">
        <v>450</v>
      </c>
      <c r="D7" s="708" t="s">
        <v>451</v>
      </c>
      <c r="E7" s="984"/>
      <c r="F7" s="708" t="s">
        <v>536</v>
      </c>
      <c r="G7" s="708" t="s">
        <v>600</v>
      </c>
      <c r="H7" s="708" t="s">
        <v>601</v>
      </c>
      <c r="I7" s="708" t="s">
        <v>602</v>
      </c>
      <c r="J7" s="708" t="s">
        <v>604</v>
      </c>
      <c r="K7" s="708" t="s">
        <v>603</v>
      </c>
      <c r="L7" s="708" t="s">
        <v>537</v>
      </c>
      <c r="M7" s="981"/>
      <c r="N7" s="708" t="s">
        <v>647</v>
      </c>
      <c r="O7" s="708" t="s">
        <v>601</v>
      </c>
      <c r="P7" s="708" t="s">
        <v>602</v>
      </c>
      <c r="Q7" s="708" t="s">
        <v>604</v>
      </c>
      <c r="R7" s="708" t="s">
        <v>603</v>
      </c>
      <c r="S7" s="708" t="s">
        <v>537</v>
      </c>
      <c r="T7" s="981"/>
      <c r="U7" s="708" t="s">
        <v>647</v>
      </c>
      <c r="V7" s="708" t="s">
        <v>601</v>
      </c>
      <c r="W7" s="708" t="s">
        <v>602</v>
      </c>
      <c r="X7" s="708" t="s">
        <v>604</v>
      </c>
      <c r="Y7" s="708" t="s">
        <v>603</v>
      </c>
      <c r="Z7" s="708" t="s">
        <v>537</v>
      </c>
      <c r="AA7" s="981"/>
      <c r="AB7" s="981"/>
      <c r="AC7" s="982"/>
      <c r="AD7" s="989"/>
      <c r="AE7" s="989"/>
      <c r="AF7" s="708" t="s">
        <v>450</v>
      </c>
      <c r="AG7" s="708" t="s">
        <v>451</v>
      </c>
      <c r="AH7" s="984"/>
      <c r="AI7" s="708" t="s">
        <v>536</v>
      </c>
      <c r="AJ7" s="708" t="s">
        <v>600</v>
      </c>
      <c r="AK7" s="708" t="s">
        <v>601</v>
      </c>
      <c r="AL7" s="708" t="s">
        <v>602</v>
      </c>
      <c r="AM7" s="708" t="s">
        <v>604</v>
      </c>
      <c r="AN7" s="708" t="s">
        <v>603</v>
      </c>
      <c r="AO7" s="708" t="s">
        <v>537</v>
      </c>
      <c r="AP7" s="981"/>
      <c r="AQ7" s="708" t="s">
        <v>647</v>
      </c>
      <c r="AR7" s="708" t="s">
        <v>601</v>
      </c>
      <c r="AS7" s="708" t="s">
        <v>602</v>
      </c>
      <c r="AT7" s="708" t="s">
        <v>604</v>
      </c>
      <c r="AU7" s="708" t="s">
        <v>603</v>
      </c>
      <c r="AV7" s="708" t="s">
        <v>537</v>
      </c>
      <c r="AW7" s="981"/>
      <c r="AX7" s="708" t="s">
        <v>647</v>
      </c>
      <c r="AY7" s="708" t="s">
        <v>601</v>
      </c>
      <c r="AZ7" s="708" t="s">
        <v>602</v>
      </c>
      <c r="BA7" s="708" t="s">
        <v>604</v>
      </c>
      <c r="BB7" s="708" t="s">
        <v>603</v>
      </c>
      <c r="BC7" s="708" t="s">
        <v>537</v>
      </c>
      <c r="BD7" s="981"/>
      <c r="BE7" s="981"/>
      <c r="BF7" s="982"/>
    </row>
    <row r="8" spans="1:58">
      <c r="A8" s="67" t="s">
        <v>257</v>
      </c>
      <c r="B8" s="68">
        <v>1</v>
      </c>
      <c r="C8" s="69">
        <f>Bevételek!J113+Bevételek!J103+Bevételek!J90+Bevételek!J80+Bevételek!J70+Bevételek!J60+Bevételek!J52+Bevételek!J45+Bevételek!J38+Bevételek!J28+Bevételek!J20+Bevételek!J11</f>
        <v>92269349</v>
      </c>
      <c r="D8" s="69">
        <f>Bevételek!K113+Bevételek!K103+Bevételek!K90+Bevételek!K80+Bevételek!K70+Bevételek!K60+Bevételek!K52+Bevételek!K45+Bevételek!K38+Bevételek!K28+Bevételek!K20+Bevételek!K11</f>
        <v>0</v>
      </c>
      <c r="E8" s="69">
        <f>Bevételek!L113+Bevételek!L103+Bevételek!L90+Bevételek!L80+Bevételek!L70+Bevételek!L60+Bevételek!L52+Bevételek!L45+Bevételek!L38+Bevételek!L28+Bevételek!L20+Bevételek!L11</f>
        <v>92269349</v>
      </c>
      <c r="F8" s="69">
        <f>Bevételek!M113+Bevételek!M103+Bevételek!M90+Bevételek!M80+Bevételek!M70+Bevételek!M60+Bevételek!M52+Bevételek!M45+Bevételek!M38+Bevételek!M28+Bevételek!M20+Bevételek!M11+Bevételek!M122</f>
        <v>0</v>
      </c>
      <c r="G8" s="69">
        <f>Bevételek!N113+Bevételek!N103+Bevételek!N90+Bevételek!N80+Bevételek!N70+Bevételek!N60+Bevételek!N52+Bevételek!N45+Bevételek!N38+Bevételek!N28+Bevételek!N20+Bevételek!N11+Bevételek!N122</f>
        <v>0</v>
      </c>
      <c r="H8" s="69">
        <f>Bevételek!O113+Bevételek!O103+Bevételek!O90+Bevételek!O80+Bevételek!O70+Bevételek!O60+Bevételek!O52+Bevételek!O45+Bevételek!O38+Bevételek!O28+Bevételek!O20+Bevételek!O11+Bevételek!O122</f>
        <v>0</v>
      </c>
      <c r="I8" s="69">
        <f>Bevételek!P113+Bevételek!P103+Bevételek!P90+Bevételek!P80+Bevételek!P70+Bevételek!P60+Bevételek!P52+Bevételek!P45+Bevételek!P38+Bevételek!P28+Bevételek!P20+Bevételek!P11+Bevételek!P122</f>
        <v>0</v>
      </c>
      <c r="J8" s="69">
        <f>Bevételek!Q113+Bevételek!Q103+Bevételek!Q90+Bevételek!Q80+Bevételek!Q70+Bevételek!Q60+Bevételek!Q52+Bevételek!Q45+Bevételek!Q38+Bevételek!Q28+Bevételek!Q20+Bevételek!Q11+Bevételek!Q122</f>
        <v>0</v>
      </c>
      <c r="K8" s="69">
        <f>Bevételek!R113+Bevételek!R103+Bevételek!R90+Bevételek!R80+Bevételek!R70+Bevételek!R60+Bevételek!R52+Bevételek!R45+Bevételek!R38+Bevételek!R28+Bevételek!R20+Bevételek!R11+Bevételek!R122</f>
        <v>210701066</v>
      </c>
      <c r="L8" s="69">
        <f>Bevételek!S113+Bevételek!S103+Bevételek!S90+Bevételek!S80+Bevételek!S70+Bevételek!S60+Bevételek!S52+Bevételek!S45+Bevételek!S38+Bevételek!S28+Bevételek!S20+Bevételek!S11+Bevételek!S122</f>
        <v>210701066</v>
      </c>
      <c r="M8" s="69">
        <f>Bevételek!T113+Bevételek!T103+Bevételek!T90+Bevételek!T80+Bevételek!T70+Bevételek!T60+Bevételek!T52+Bevételek!T45+Bevételek!T38+Bevételek!T28+Bevételek!T20+Bevételek!T11+Bevételek!T122</f>
        <v>302970415</v>
      </c>
      <c r="N8" s="69">
        <f>Bevételek!U113+Bevételek!U103+Bevételek!U90+Bevételek!U80+Bevételek!U70+Bevételek!U60+Bevételek!U52+Bevételek!U45+Bevételek!U38+Bevételek!U28+Bevételek!U20+Bevételek!U11+Bevételek!U122</f>
        <v>0</v>
      </c>
      <c r="O8" s="69">
        <f>Bevételek!V113+Bevételek!V103+Bevételek!V90+Bevételek!V80+Bevételek!V70+Bevételek!V60+Bevételek!V52+Bevételek!V45+Bevételek!V38+Bevételek!V28+Bevételek!V20+Bevételek!V11+Bevételek!V122</f>
        <v>204832</v>
      </c>
      <c r="P8" s="69">
        <f>Bevételek!W113+Bevételek!W103+Bevételek!W90+Bevételek!W80+Bevételek!W70+Bevételek!W60+Bevételek!W52+Bevételek!W45+Bevételek!W38+Bevételek!W28+Bevételek!W20+Bevételek!W11+Bevételek!W122</f>
        <v>0</v>
      </c>
      <c r="Q8" s="69">
        <f>Bevételek!X113+Bevételek!X103+Bevételek!X90+Bevételek!X80+Bevételek!X70+Bevételek!X60+Bevételek!X52+Bevételek!X45+Bevételek!X38+Bevételek!X28+Bevételek!X20+Bevételek!X11+Bevételek!X122</f>
        <v>0</v>
      </c>
      <c r="R8" s="69">
        <f>Bevételek!Y113+Bevételek!Y103+Bevételek!Y90+Bevételek!Y80+Bevételek!Y70+Bevételek!Y60+Bevételek!Y52+Bevételek!Y45+Bevételek!Y38+Bevételek!Y28+Bevételek!Y20+Bevételek!Y11+Bevételek!Y122</f>
        <v>202711135</v>
      </c>
      <c r="S8" s="69">
        <f>Bevételek!Z113+Bevételek!Z103+Bevételek!Z90+Bevételek!Z80+Bevételek!Z70+Bevételek!Z60+Bevételek!Z52+Bevételek!Z45+Bevételek!Z38+Bevételek!Z28+Bevételek!Z20+Bevételek!Z11+Bevételek!Z122</f>
        <v>202915967</v>
      </c>
      <c r="T8" s="69">
        <f>Bevételek!AA113+Bevételek!AA103+Bevételek!AA90+Bevételek!AA80+Bevételek!AA70+Bevételek!AA60+Bevételek!AA52+Bevételek!AA45+Bevételek!AA38+Bevételek!AA28+Bevételek!AA20+Bevételek!AA11+Bevételek!AA122</f>
        <v>505886382</v>
      </c>
      <c r="U8" s="69">
        <f>Bevételek!AB113+Bevételek!AB103+Bevételek!AB90+Bevételek!AB80+Bevételek!AB70+Bevételek!AB60+Bevételek!AB52+Bevételek!AB45+Bevételek!AB38+Bevételek!AB28+Bevételek!AB20+Bevételek!AB11+Bevételek!AB122</f>
        <v>0</v>
      </c>
      <c r="V8" s="69">
        <f>Bevételek!AC113+Bevételek!AC103+Bevételek!AC90+Bevételek!AC80+Bevételek!AC70+Bevételek!AC60+Bevételek!AC52+Bevételek!AC45+Bevételek!AC38+Bevételek!AC28+Bevételek!AC20+Bevételek!AC11+Bevételek!AC122</f>
        <v>-18099355</v>
      </c>
      <c r="W8" s="69">
        <f>Bevételek!AD113+Bevételek!AD103+Bevételek!AD90+Bevételek!AD80+Bevételek!AD70+Bevételek!AD60+Bevételek!AD52+Bevételek!AD45+Bevételek!AD38+Bevételek!AD28+Bevételek!AD20+Bevételek!AD11+Bevételek!AD122</f>
        <v>0</v>
      </c>
      <c r="X8" s="69">
        <f>Bevételek!AE113+Bevételek!AE103+Bevételek!AE90+Bevételek!AE80+Bevételek!AE70+Bevételek!AE60+Bevételek!AE52+Bevételek!AE45+Bevételek!AE38+Bevételek!AE28+Bevételek!AE20+Bevételek!AE11+Bevételek!AE122</f>
        <v>0</v>
      </c>
      <c r="Y8" s="69">
        <f>Bevételek!AF113+Bevételek!AF103+Bevételek!AF90+Bevételek!AF80+Bevételek!AF70+Bevételek!AF60+Bevételek!AF52+Bevételek!AF45+Bevételek!AF38+Bevételek!AF28+Bevételek!AF20+Bevételek!AF11+Bevételek!AF122</f>
        <v>45222813</v>
      </c>
      <c r="Z8" s="69">
        <f>Bevételek!AG113+Bevételek!AG103+Bevételek!AG90+Bevételek!AG80+Bevételek!AG70+Bevételek!AG60+Bevételek!AG52+Bevételek!AG45+Bevételek!AG38+Bevételek!AG28+Bevételek!AG20+Bevételek!AG11+Bevételek!AG122</f>
        <v>27123458</v>
      </c>
      <c r="AA8" s="69">
        <f>Bevételek!AH113+Bevételek!AH103+Bevételek!AH90+Bevételek!AH80+Bevételek!AH70+Bevételek!AH60+Bevételek!AH52+Bevételek!AH45+Bevételek!AH38+Bevételek!AH28+Bevételek!AH20+Bevételek!AH11+Bevételek!AH122</f>
        <v>533009840</v>
      </c>
      <c r="AB8" s="69">
        <f>Bevételek!AI113+Bevételek!AI103+Bevételek!AI90+Bevételek!AI80+Bevételek!AI70+Bevételek!AI60+Bevételek!AI52+Bevételek!AI45+Bevételek!AI38+Bevételek!AI28+Bevételek!AI20+Bevételek!AI11+Bevételek!AI122</f>
        <v>533003526</v>
      </c>
      <c r="AC8" s="830">
        <f>AB8/AA8*100</f>
        <v>99.998815406484795</v>
      </c>
      <c r="AD8" s="177" t="s">
        <v>107</v>
      </c>
      <c r="AE8" s="70" t="s">
        <v>314</v>
      </c>
      <c r="AF8" s="71">
        <f>Kiadások!J161+Kiadások!J158+Kiadások!J155+Kiadások!J145+Kiadások!J144+Kiadások!J143+Kiadások!J134+Kiadások!J133+Kiadások!J132+Kiadások!J121+Kiadások!J120+Kiadások!J118+Kiadások!J116+Kiadások!J114+Kiadások!J105+Kiadások!J104+Kiadások!J103+Kiadások!J94+Kiadások!J93+Kiadások!J92+Kiadások!J81+Kiadások!J79+Kiadások!J77+Kiadások!J69+Kiadások!J68+Kiadások!J67+Kiadások!J58+Kiadások!J57+Kiadások!J56+Kiadások!J48+Kiadások!J47+Kiadások!J46+Kiadások!J36+Kiadások!J35+Kiadások!J34+Kiadások!J33+Kiadások!J24+Kiadások!J23+Kiadások!J22+Kiadások!J14+Kiadások!J13+Kiadások!J12</f>
        <v>7443833350</v>
      </c>
      <c r="AG8" s="71">
        <f>Kiadások!K161+Kiadások!K158+Kiadások!K155+Kiadások!K145+Kiadások!K144+Kiadások!K143+Kiadások!K134+Kiadások!K133+Kiadások!K132+Kiadások!K121+Kiadások!K120+Kiadások!K118+Kiadások!K116+Kiadások!K114+Kiadások!K105+Kiadások!K104+Kiadások!K103+Kiadások!K94+Kiadások!K93+Kiadások!K92+Kiadások!K81+Kiadások!K79+Kiadások!K77+Kiadások!K69+Kiadások!K68+Kiadások!K67+Kiadások!K58+Kiadások!K57+Kiadások!K56+Kiadások!K48+Kiadások!K47+Kiadások!K46+Kiadások!K36+Kiadások!K35+Kiadások!K34+Kiadások!K33+Kiadások!K24+Kiadások!K23+Kiadások!K22+Kiadások!K14+Kiadások!K13+Kiadások!K12</f>
        <v>0</v>
      </c>
      <c r="AH8" s="71">
        <f>Kiadások!L161+Kiadások!L158+Kiadások!L155+Kiadások!L145+Kiadások!L144+Kiadások!L143+Kiadások!L134+Kiadások!L133+Kiadások!L132+Kiadások!L121+Kiadások!L120+Kiadások!L118+Kiadások!L116+Kiadások!L114+Kiadások!L105+Kiadások!L104+Kiadások!L103+Kiadások!L94+Kiadások!L93+Kiadások!L92+Kiadások!L81+Kiadások!L79+Kiadások!L77+Kiadások!L69+Kiadások!L68+Kiadások!L67+Kiadások!L58+Kiadások!L57+Kiadások!L56+Kiadások!L48+Kiadások!L47+Kiadások!L46+Kiadások!L36+Kiadások!L35+Kiadások!L34+Kiadások!L33+Kiadások!L24+Kiadások!L23+Kiadások!L22+Kiadások!L14+Kiadások!L13+Kiadások!L12</f>
        <v>7443833350</v>
      </c>
      <c r="AI8" s="71">
        <f>Kiadások!M161+Kiadások!M158+Kiadások!M155+Kiadások!M145+Kiadások!M144+Kiadások!M143+Kiadások!M134+Kiadások!M133+Kiadások!M132+Kiadások!M121+Kiadások!M120+Kiadások!M118+Kiadások!M116+Kiadások!M114+Kiadások!M105+Kiadások!M104+Kiadások!M103+Kiadások!M94+Kiadások!M93+Kiadások!M92+Kiadások!M81+Kiadások!M79+Kiadások!M77+Kiadások!M69+Kiadások!M68+Kiadások!M67+Kiadások!M58+Kiadások!M57+Kiadások!M56+Kiadások!M48+Kiadások!M47+Kiadások!M46+Kiadások!M36+Kiadások!M35+Kiadások!M34+Kiadások!M33+Kiadások!M24+Kiadások!M23+Kiadások!M22+Kiadások!M14+Kiadások!M13+Kiadások!M12</f>
        <v>456940205</v>
      </c>
      <c r="AJ8" s="71">
        <f>Kiadások!N161+Kiadások!N158+Kiadások!N155+Kiadások!N145+Kiadások!N144+Kiadások!N143+Kiadások!N134+Kiadások!N133+Kiadások!N132+Kiadások!N121+Kiadások!N120+Kiadások!N118+Kiadások!N116+Kiadások!N114+Kiadások!N105+Kiadások!N104+Kiadások!N103+Kiadások!N94+Kiadások!N93+Kiadások!N92+Kiadások!N81+Kiadások!N79+Kiadások!N77+Kiadások!N69+Kiadások!N68+Kiadások!N67+Kiadások!N58+Kiadások!N57+Kiadások!N56+Kiadások!N48+Kiadások!N47+Kiadások!N46+Kiadások!N36+Kiadások!N35+Kiadások!N34+Kiadások!N33+Kiadások!N24+Kiadások!N23+Kiadások!N22+Kiadások!N14+Kiadások!N13+Kiadások!N12</f>
        <v>0</v>
      </c>
      <c r="AK8" s="71">
        <f>Kiadások!O161+Kiadások!O158+Kiadások!O155+Kiadások!O145+Kiadások!O144+Kiadások!O143+Kiadások!O134+Kiadások!O133+Kiadások!O132+Kiadások!O121+Kiadások!O120+Kiadások!O118+Kiadások!O116+Kiadások!O114+Kiadások!O105+Kiadások!O104+Kiadások!O103+Kiadások!O94+Kiadások!O93+Kiadások!O92+Kiadások!O81+Kiadások!O79+Kiadások!O77+Kiadások!O69+Kiadások!O68+Kiadások!O67+Kiadások!O58+Kiadások!O57+Kiadások!O56+Kiadások!O48+Kiadások!O47+Kiadások!O46+Kiadások!O36+Kiadások!O35+Kiadások!O34+Kiadások!O33+Kiadások!O24+Kiadások!O23+Kiadások!O22+Kiadások!O14+Kiadások!O13+Kiadások!O12+Kiadások!O37+Kiadások!O83</f>
        <v>-1000000</v>
      </c>
      <c r="AL8" s="71">
        <f>Kiadások!P161+Kiadások!P158+Kiadások!P155+Kiadások!P145+Kiadások!P144+Kiadások!P143+Kiadások!P134+Kiadások!P133+Kiadások!P132+Kiadások!P121+Kiadások!P120+Kiadások!P118+Kiadások!P116+Kiadások!P114+Kiadások!P105+Kiadások!P104+Kiadások!P103+Kiadások!P94+Kiadások!P93+Kiadások!P92+Kiadások!P81+Kiadások!P79+Kiadások!P77+Kiadások!P69+Kiadások!P68+Kiadások!P67+Kiadások!P58+Kiadások!P57+Kiadások!P56+Kiadások!P48+Kiadások!P47+Kiadások!P46+Kiadások!P36+Kiadások!P35+Kiadások!P34+Kiadások!P33+Kiadások!P24+Kiadások!P23+Kiadások!P22+Kiadások!P14+Kiadások!P13+Kiadások!P12+Kiadások!P37+Kiadások!P83</f>
        <v>0</v>
      </c>
      <c r="AM8" s="71">
        <f>Kiadások!Q161+Kiadások!Q158+Kiadások!Q155+Kiadások!Q145+Kiadások!Q144+Kiadások!Q143+Kiadások!Q134+Kiadások!Q133+Kiadások!Q132+Kiadások!Q121+Kiadások!Q120+Kiadások!Q118+Kiadások!Q116+Kiadások!Q114+Kiadások!Q105+Kiadások!Q104+Kiadások!Q103+Kiadások!Q94+Kiadások!Q93+Kiadások!Q92+Kiadások!Q81+Kiadások!Q79+Kiadások!Q77+Kiadások!Q69+Kiadások!Q68+Kiadások!Q67+Kiadások!Q58+Kiadások!Q57+Kiadások!Q56+Kiadások!Q48+Kiadások!Q47+Kiadások!Q46+Kiadások!Q36+Kiadások!Q35+Kiadások!Q34+Kiadások!Q33+Kiadások!Q24+Kiadások!Q23+Kiadások!Q22+Kiadások!Q14+Kiadások!Q13+Kiadások!Q12+Kiadások!Q37+Kiadások!Q83</f>
        <v>117377813</v>
      </c>
      <c r="AN8" s="71">
        <f>Kiadások!R161+Kiadások!R158+Kiadások!R155+Kiadások!R145+Kiadások!R144+Kiadások!R143+Kiadások!R134+Kiadások!R133+Kiadások!R132+Kiadások!R121+Kiadások!R120+Kiadások!R118+Kiadások!R116+Kiadások!R114+Kiadások!R105+Kiadások!R104+Kiadások!R103+Kiadások!R94+Kiadások!R93+Kiadások!R92+Kiadások!R81+Kiadások!R79+Kiadások!R77+Kiadások!R69+Kiadások!R68+Kiadások!R67+Kiadások!R58+Kiadások!R57+Kiadások!R56+Kiadások!R48+Kiadások!R47+Kiadások!R46+Kiadások!R36+Kiadások!R35+Kiadások!R34+Kiadások!R33+Kiadások!R24+Kiadások!R23+Kiadások!R22+Kiadások!R14+Kiadások!R13+Kiadások!R12+Kiadások!R37+Kiadások!R83</f>
        <v>215301066</v>
      </c>
      <c r="AO8" s="71">
        <f>Kiadások!S161+Kiadások!S158+Kiadások!S155+Kiadások!S145+Kiadások!S144+Kiadások!S143+Kiadások!S134+Kiadások!S133+Kiadások!S132+Kiadások!S121+Kiadások!S120+Kiadások!S118+Kiadások!S116+Kiadások!S114+Kiadások!S105+Kiadások!S104+Kiadások!S103+Kiadások!S94+Kiadások!S93+Kiadások!S92+Kiadások!S81+Kiadások!S79+Kiadások!S77+Kiadások!S69+Kiadások!S68+Kiadások!S67+Kiadások!S58+Kiadások!S57+Kiadások!S56+Kiadások!S48+Kiadások!S47+Kiadások!S46+Kiadások!S36+Kiadások!S35+Kiadások!S34+Kiadások!S33+Kiadások!S24+Kiadások!S23+Kiadások!S22+Kiadások!S14+Kiadások!S13+Kiadások!S12+Kiadások!S37+Kiadások!S83</f>
        <v>788619084</v>
      </c>
      <c r="AP8" s="71">
        <f>Kiadások!T161+Kiadások!T158+Kiadások!T155+Kiadások!T145+Kiadások!T144+Kiadások!T143+Kiadások!T134+Kiadások!T133+Kiadások!T132+Kiadások!T121+Kiadások!T120+Kiadások!T118+Kiadások!T116+Kiadások!T114+Kiadások!T105+Kiadások!T104+Kiadások!T103+Kiadások!T94+Kiadások!T93+Kiadások!T92+Kiadások!T81+Kiadások!T79+Kiadások!T77+Kiadások!T69+Kiadások!T68+Kiadások!T67+Kiadások!T58+Kiadások!T57+Kiadások!T56+Kiadások!T48+Kiadások!T47+Kiadások!T46+Kiadások!T36+Kiadások!T35+Kiadások!T34+Kiadások!T33+Kiadások!T24+Kiadások!T23+Kiadások!T22+Kiadások!T14+Kiadások!T13+Kiadások!T12+Kiadások!T37+Kiadások!T83</f>
        <v>8232452434</v>
      </c>
      <c r="AQ8" s="71">
        <f>Kiadások!U161+Kiadások!U158+Kiadások!U155+Kiadások!U145+Kiadások!U144+Kiadások!U143+Kiadások!U134+Kiadások!U133+Kiadások!U132+Kiadások!U121+Kiadások!U120+Kiadások!U118+Kiadások!U116+Kiadások!U114+Kiadások!U105+Kiadások!U104+Kiadások!U103+Kiadások!U94+Kiadások!U93+Kiadások!U92+Kiadások!U83+Kiadások!U81+Kiadások!U79+Kiadások!U77+Kiadások!U69+Kiadások!U68+Kiadások!U67+Kiadások!U58+Kiadások!U57+Kiadások!U56+Kiadások!U48+Kiadások!U47+Kiadások!U46+Kiadások!U37+Kiadások!U36+Kiadások!U35+Kiadások!U34+Kiadások!U33+Kiadások!U24+Kiadások!U23+Kiadások!U22+Kiadások!U14+Kiadások!U13+Kiadások!U12</f>
        <v>9825882</v>
      </c>
      <c r="AR8" s="71">
        <f>Kiadások!V161+Kiadások!V158+Kiadások!V155+Kiadások!V145+Kiadások!V144+Kiadások!V143+Kiadások!V134+Kiadások!V133+Kiadások!V132+Kiadások!V121+Kiadások!V120+Kiadások!V118+Kiadások!V116+Kiadások!V114+Kiadások!V105+Kiadások!V104+Kiadások!V103+Kiadások!V94+Kiadások!V93+Kiadások!V92+Kiadások!V83+Kiadások!V81+Kiadások!V79+Kiadások!V77+Kiadások!V69+Kiadások!V68+Kiadások!V67+Kiadások!V58+Kiadások!V57+Kiadások!V56+Kiadások!V48+Kiadások!V47+Kiadások!V46+Kiadások!V37+Kiadások!V36+Kiadások!V35+Kiadások!V34+Kiadások!V33+Kiadások!V24+Kiadások!V23+Kiadások!V22+Kiadások!V14+Kiadások!V13+Kiadások!V12</f>
        <v>13201875</v>
      </c>
      <c r="AS8" s="71">
        <f>Kiadások!W161+Kiadások!W158+Kiadások!W155+Kiadások!W145+Kiadások!W144+Kiadások!W143+Kiadások!W134+Kiadások!W133+Kiadások!W132+Kiadások!W121+Kiadások!W120+Kiadások!W118+Kiadások!W116+Kiadások!W114+Kiadások!W105+Kiadások!W104+Kiadások!W103+Kiadások!W94+Kiadások!W93+Kiadások!W92+Kiadások!W83+Kiadások!W81+Kiadások!W79+Kiadások!W77+Kiadások!W69+Kiadások!W68+Kiadások!W67+Kiadások!W58+Kiadások!W57+Kiadások!W56+Kiadások!W48+Kiadások!W47+Kiadások!W46+Kiadások!W37+Kiadások!W36+Kiadások!W35+Kiadások!W34+Kiadások!W33+Kiadások!W24+Kiadások!W23+Kiadások!W22+Kiadások!W14+Kiadások!W13+Kiadások!W12</f>
        <v>0</v>
      </c>
      <c r="AT8" s="71">
        <f>Kiadások!X161+Kiadások!X158+Kiadások!X155+Kiadások!X145+Kiadások!X144+Kiadások!X143+Kiadások!X134+Kiadások!X133+Kiadások!X132+Kiadások!X121+Kiadások!X120+Kiadások!X118+Kiadások!X116+Kiadások!X114+Kiadások!X105+Kiadások!X104+Kiadások!X103+Kiadások!X94+Kiadások!X93+Kiadások!X92+Kiadások!X83+Kiadások!X81+Kiadások!X79+Kiadások!X77+Kiadások!X69+Kiadások!X68+Kiadások!X67+Kiadások!X58+Kiadások!X57+Kiadások!X56+Kiadások!X48+Kiadások!X47+Kiadások!X46+Kiadások!X37+Kiadások!X36+Kiadások!X35+Kiadások!X34+Kiadások!X33+Kiadások!X24+Kiadások!X23+Kiadások!X22+Kiadások!X14+Kiadások!X13+Kiadások!X12</f>
        <v>67932635</v>
      </c>
      <c r="AU8" s="71">
        <f>Kiadások!Y161+Kiadások!Y158+Kiadások!Y155+Kiadások!Y145+Kiadások!Y144+Kiadások!Y143+Kiadások!Y134+Kiadások!Y133+Kiadások!Y132+Kiadások!Y121+Kiadások!Y120+Kiadások!Y118+Kiadások!Y116+Kiadások!Y114+Kiadások!Y105+Kiadások!Y104+Kiadások!Y103+Kiadások!Y94+Kiadások!Y93+Kiadások!Y92+Kiadások!Y83+Kiadások!Y81+Kiadások!Y79+Kiadások!Y77+Kiadások!Y69+Kiadások!Y68+Kiadások!Y67+Kiadások!Y58+Kiadások!Y57+Kiadások!Y56+Kiadások!Y48+Kiadások!Y47+Kiadások!Y46+Kiadások!Y37+Kiadások!Y36+Kiadások!Y35+Kiadások!Y34+Kiadások!Y33+Kiadások!Y24+Kiadások!Y23+Kiadások!Y22+Kiadások!Y14+Kiadások!Y13+Kiadások!Y12</f>
        <v>208309135</v>
      </c>
      <c r="AV8" s="71">
        <f>Kiadások!Z161+Kiadások!Z158+Kiadások!Z155+Kiadások!Z145+Kiadások!Z144+Kiadások!Z143+Kiadások!Z134+Kiadások!Z133+Kiadások!Z132+Kiadások!Z121+Kiadások!Z120+Kiadások!Z118+Kiadások!Z116+Kiadások!Z114+Kiadások!Z105+Kiadások!Z104+Kiadások!Z103+Kiadások!Z94+Kiadások!Z93+Kiadások!Z92+Kiadások!Z83+Kiadások!Z81+Kiadások!Z79+Kiadások!Z77+Kiadások!Z69+Kiadások!Z68+Kiadások!Z67+Kiadások!Z58+Kiadások!Z57+Kiadások!Z56+Kiadások!Z48+Kiadások!Z47+Kiadások!Z46+Kiadások!Z37+Kiadások!Z36+Kiadások!Z35+Kiadások!Z34+Kiadások!Z33+Kiadások!Z24+Kiadások!Z23+Kiadások!Z22+Kiadások!Z14+Kiadások!Z13+Kiadások!Z12</f>
        <v>299269527</v>
      </c>
      <c r="AW8" s="71">
        <f>Kiadások!AA161+Kiadások!AA158+Kiadások!AA155+Kiadások!AA145+Kiadások!AA144+Kiadások!AA143+Kiadások!AA134+Kiadások!AA133+Kiadások!AA132+Kiadások!AA121+Kiadások!AA120+Kiadások!AA118+Kiadások!AA116+Kiadások!AA114+Kiadások!AA105+Kiadások!AA104+Kiadások!AA103+Kiadások!AA94+Kiadások!AA93+Kiadások!AA92+Kiadások!AA83+Kiadások!AA81+Kiadások!AA79+Kiadások!AA77+Kiadások!AA69+Kiadások!AA68+Kiadások!AA67+Kiadások!AA58+Kiadások!AA57+Kiadások!AA56+Kiadások!AA48+Kiadások!AA47+Kiadások!AA46+Kiadások!AA37+Kiadások!AA36+Kiadások!AA35+Kiadások!AA34+Kiadások!AA33+Kiadások!AA24+Kiadások!AA23+Kiadások!AA22+Kiadások!AA14+Kiadások!AA13+Kiadások!AA12</f>
        <v>8531721961</v>
      </c>
      <c r="AX8" s="71">
        <f>Kiadások!AB161+Kiadások!AB158+Kiadások!AB155+Kiadások!AB145+Kiadások!AB144+Kiadások!AB143+Kiadások!AB134+Kiadások!AB133+Kiadások!AB132+Kiadások!AB121+Kiadások!AB120+Kiadások!AB118+Kiadások!AB116+Kiadások!AB114+Kiadások!AB105+Kiadások!AB104+Kiadások!AB103+Kiadások!AB94+Kiadások!AB93+Kiadások!AB92+Kiadások!AB83+Kiadások!AB81+Kiadások!AB79+Kiadások!AB77+Kiadások!AB69+Kiadások!AB68+Kiadások!AB67+Kiadások!AB58+Kiadások!AB57+Kiadások!AB56+Kiadások!AB48+Kiadások!AB47+Kiadások!AB46+Kiadások!AB37+Kiadások!AB36+Kiadások!AB35+Kiadások!AB34+Kiadások!AB33+Kiadások!AB24+Kiadások!AB23+Kiadások!AB22+Kiadások!AB14+Kiadások!AB13+Kiadások!AB12</f>
        <v>2555500</v>
      </c>
      <c r="AY8" s="71">
        <f>Kiadások!AC161+Kiadások!AC158+Kiadások!AC155+Kiadások!AC145+Kiadások!AC144+Kiadások!AC143+Kiadások!AC134+Kiadások!AC133+Kiadások!AC132+Kiadások!AC121+Kiadások!AC120+Kiadások!AC118+Kiadások!AC116+Kiadások!AC114+Kiadások!AC105+Kiadások!AC104+Kiadások!AC103+Kiadások!AC94+Kiadások!AC93+Kiadások!AC92+Kiadások!AC83+Kiadások!AC81+Kiadások!AC79+Kiadások!AC77+Kiadások!AC69+Kiadások!AC68+Kiadások!AC67+Kiadások!AC58+Kiadások!AC57+Kiadások!AC56+Kiadások!AC48+Kiadások!AC47+Kiadások!AC46+Kiadások!AC37+Kiadások!AC36+Kiadások!AC35+Kiadások!AC34+Kiadások!AC33+Kiadások!AC24+Kiadások!AC23+Kiadások!AC22+Kiadások!AC14+Kiadások!AC13+Kiadások!AC12</f>
        <v>157467086</v>
      </c>
      <c r="AZ8" s="71">
        <f>Kiadások!AD161+Kiadások!AD158+Kiadások!AD155+Kiadások!AD145+Kiadások!AD144+Kiadások!AD143+Kiadások!AD134+Kiadások!AD133+Kiadások!AD132+Kiadások!AD121+Kiadások!AD120+Kiadások!AD118+Kiadások!AD116+Kiadások!AD114+Kiadások!AD105+Kiadások!AD104+Kiadások!AD103+Kiadások!AD94+Kiadások!AD93+Kiadások!AD92+Kiadások!AD83+Kiadások!AD81+Kiadások!AD79+Kiadások!AD77+Kiadások!AD69+Kiadások!AD68+Kiadások!AD67+Kiadások!AD58+Kiadások!AD57+Kiadások!AD56+Kiadások!AD48+Kiadások!AD47+Kiadások!AD46+Kiadások!AD37+Kiadások!AD36+Kiadások!AD35+Kiadások!AD34+Kiadások!AD33+Kiadások!AD24+Kiadások!AD23+Kiadások!AD22+Kiadások!AD14+Kiadások!AD13+Kiadások!AD12</f>
        <v>0</v>
      </c>
      <c r="BA8" s="71">
        <f>Kiadások!AE161+Kiadások!AE158+Kiadások!AE155+Kiadások!AE145+Kiadások!AE144+Kiadások!AE143+Kiadások!AE134+Kiadások!AE133+Kiadások!AE132+Kiadások!AE121+Kiadások!AE120+Kiadások!AE118+Kiadások!AE116+Kiadások!AE114+Kiadások!AE105+Kiadások!AE104+Kiadások!AE103+Kiadások!AE94+Kiadások!AE93+Kiadások!AE92+Kiadások!AE83+Kiadások!AE81+Kiadások!AE79+Kiadások!AE77+Kiadások!AE69+Kiadások!AE68+Kiadások!AE67+Kiadások!AE58+Kiadások!AE57+Kiadások!AE56+Kiadások!AE48+Kiadások!AE47+Kiadások!AE46+Kiadások!AE37+Kiadások!AE36+Kiadások!AE35+Kiadások!AE34+Kiadások!AE33+Kiadások!AE24+Kiadások!AE23+Kiadások!AE22+Kiadások!AE14+Kiadások!AE13+Kiadások!AE12</f>
        <v>60139220</v>
      </c>
      <c r="BB8" s="71">
        <f>Kiadások!AF161+Kiadások!AF158+Kiadások!AF155+Kiadások!AF145+Kiadások!AF144+Kiadások!AF143+Kiadások!AF134+Kiadások!AF133+Kiadások!AF132+Kiadások!AF121+Kiadások!AF120+Kiadások!AF118+Kiadások!AF116+Kiadások!AF114+Kiadások!AF105+Kiadások!AF104+Kiadások!AF103+Kiadások!AF94+Kiadások!AF93+Kiadások!AF92+Kiadások!AF83+Kiadások!AF81+Kiadások!AF79+Kiadások!AF77+Kiadások!AF69+Kiadások!AF68+Kiadások!AF67+Kiadások!AF58+Kiadások!AF57+Kiadások!AF56+Kiadások!AF48+Kiadások!AF47+Kiadások!AF46+Kiadások!AF37+Kiadások!AF36+Kiadások!AF35+Kiadások!AF34+Kiadások!AF33+Kiadások!AF24+Kiadások!AF23+Kiadások!AF22+Kiadások!AF14+Kiadások!AF13+Kiadások!AF12</f>
        <v>69876623</v>
      </c>
      <c r="BC8" s="71">
        <f>Kiadások!AG161+Kiadások!AG158+Kiadások!AG155+Kiadások!AG145+Kiadások!AG144+Kiadások!AG143+Kiadások!AG134+Kiadások!AG133+Kiadások!AG132+Kiadások!AG121+Kiadások!AG120+Kiadások!AG118+Kiadások!AG116+Kiadások!AG114+Kiadások!AG105+Kiadások!AG104+Kiadások!AG103+Kiadások!AG94+Kiadások!AG93+Kiadások!AG92+Kiadások!AG83+Kiadások!AG81+Kiadások!AG79+Kiadások!AG77+Kiadások!AG69+Kiadások!AG68+Kiadások!AG67+Kiadások!AG58+Kiadások!AG57+Kiadások!AG56+Kiadások!AG48+Kiadások!AG47+Kiadások!AG46+Kiadások!AG37+Kiadások!AG36+Kiadások!AG35+Kiadások!AG34+Kiadások!AG33+Kiadások!AG24+Kiadások!AG23+Kiadások!AG22+Kiadások!AG14+Kiadások!AG13+Kiadások!AG12</f>
        <v>290038429</v>
      </c>
      <c r="BD8" s="71">
        <f>Kiadások!AH161+Kiadások!AH158+Kiadások!AH155+Kiadások!AH145+Kiadások!AH144+Kiadások!AH143+Kiadások!AH134+Kiadások!AH133+Kiadások!AH132+Kiadások!AH121+Kiadások!AH120+Kiadások!AH118+Kiadások!AH116+Kiadások!AH114+Kiadások!AH105+Kiadások!AH104+Kiadások!AH103+Kiadások!AH94+Kiadások!AH93+Kiadások!AH92+Kiadások!AH83+Kiadások!AH81+Kiadások!AH79+Kiadások!AH77+Kiadások!AH69+Kiadások!AH68+Kiadások!AH67+Kiadások!AH58+Kiadások!AH57+Kiadások!AH56+Kiadások!AH48+Kiadások!AH47+Kiadások!AH46+Kiadások!AH37+Kiadások!AH36+Kiadások!AH35+Kiadások!AH34+Kiadások!AH33+Kiadások!AH24+Kiadások!AH23+Kiadások!AH22+Kiadások!AH14+Kiadások!AH13+Kiadások!AH12</f>
        <v>8821760390</v>
      </c>
      <c r="BE8" s="71">
        <f>Kiadások!AI161+Kiadások!AI158+Kiadások!AI155+Kiadások!AI145+Kiadások!AI144+Kiadások!AI143+Kiadások!AI134+Kiadások!AI133+Kiadások!AI132+Kiadások!AI121+Kiadások!AI120+Kiadások!AI118+Kiadások!AI116+Kiadások!AI114+Kiadások!AI105+Kiadások!AI104+Kiadások!AI103+Kiadások!AI94+Kiadások!AI93+Kiadások!AI92+Kiadások!AI83+Kiadások!AI81+Kiadások!AI79+Kiadások!AI77+Kiadások!AI69+Kiadások!AI68+Kiadások!AI67+Kiadások!AI58+Kiadások!AI57+Kiadások!AI56+Kiadások!AI48+Kiadások!AI47+Kiadások!AI46+Kiadások!AI37+Kiadások!AI36+Kiadások!AI35+Kiadások!AI34+Kiadások!AI33+Kiadások!AI24+Kiadások!AI23+Kiadások!AI22+Kiadások!AI14+Kiadások!AI13+Kiadások!AI12</f>
        <v>7994081467</v>
      </c>
      <c r="BF8" s="823">
        <f>BE8/BD8*100</f>
        <v>90.6177578350663</v>
      </c>
    </row>
    <row r="9" spans="1:58" ht="23">
      <c r="A9" s="72" t="s">
        <v>267</v>
      </c>
      <c r="B9" s="73">
        <v>1</v>
      </c>
      <c r="C9" s="74">
        <f>Bevételek!J91</f>
        <v>40883000</v>
      </c>
      <c r="D9" s="74"/>
      <c r="E9" s="74">
        <f>Bevételek!L91</f>
        <v>40883000</v>
      </c>
      <c r="F9" s="74">
        <f>Bevételek!M91</f>
        <v>0</v>
      </c>
      <c r="G9" s="74">
        <f>Bevételek!N91</f>
        <v>0</v>
      </c>
      <c r="H9" s="74">
        <f>Bevételek!O91</f>
        <v>0</v>
      </c>
      <c r="I9" s="74">
        <f>Bevételek!P91</f>
        <v>0</v>
      </c>
      <c r="J9" s="74">
        <f>Bevételek!Q91</f>
        <v>0</v>
      </c>
      <c r="K9" s="74">
        <f>Bevételek!R91</f>
        <v>0</v>
      </c>
      <c r="L9" s="74">
        <f>Bevételek!S91</f>
        <v>0</v>
      </c>
      <c r="M9" s="74">
        <f>Bevételek!T91</f>
        <v>40883000</v>
      </c>
      <c r="N9" s="74">
        <f>Bevételek!U91</f>
        <v>0</v>
      </c>
      <c r="O9" s="74">
        <f>Bevételek!V91</f>
        <v>0</v>
      </c>
      <c r="P9" s="74">
        <f>Bevételek!W91</f>
        <v>0</v>
      </c>
      <c r="Q9" s="74">
        <f>Bevételek!X91</f>
        <v>0</v>
      </c>
      <c r="R9" s="74">
        <f>Bevételek!Y91</f>
        <v>0</v>
      </c>
      <c r="S9" s="74">
        <f>Bevételek!Z91</f>
        <v>0</v>
      </c>
      <c r="T9" s="74">
        <f>Bevételek!AA91</f>
        <v>40883000</v>
      </c>
      <c r="U9" s="74">
        <f>Bevételek!AB91</f>
        <v>0</v>
      </c>
      <c r="V9" s="74">
        <f>Bevételek!AC91</f>
        <v>0</v>
      </c>
      <c r="W9" s="74">
        <f>Bevételek!AD91</f>
        <v>0</v>
      </c>
      <c r="X9" s="74">
        <f>Bevételek!AE91</f>
        <v>0</v>
      </c>
      <c r="Y9" s="74">
        <f>Bevételek!AF91</f>
        <v>7129300</v>
      </c>
      <c r="Z9" s="74">
        <f>Bevételek!AG91</f>
        <v>7129300</v>
      </c>
      <c r="AA9" s="74">
        <f>Bevételek!AH91</f>
        <v>48012300</v>
      </c>
      <c r="AB9" s="74">
        <f>Bevételek!AI91</f>
        <v>48012300</v>
      </c>
      <c r="AC9" s="831">
        <f>AB9/AA9*100</f>
        <v>100</v>
      </c>
      <c r="AD9" s="178" t="s">
        <v>238</v>
      </c>
      <c r="AE9" s="75">
        <v>6</v>
      </c>
      <c r="AF9" s="76">
        <f>Kiadások!J16+Kiadások!J26+Kiadások!J39+Kiadások!J50+Kiadások!J60+Kiadások!J71+Kiadások!J85+Kiadások!J96+Kiadások!J107+Kiadások!J123+Kiadások!J136+Kiadások!J147+Kiadások!J165</f>
        <v>0</v>
      </c>
      <c r="AG9" s="76">
        <f>Kiadások!K16+Kiadások!K26+Kiadások!K39+Kiadások!K50+Kiadások!K60+Kiadások!K71+Kiadások!K85+Kiadások!K96+Kiadások!K107+Kiadások!K123+Kiadások!K136+Kiadások!K147+Kiadások!K165</f>
        <v>346908834</v>
      </c>
      <c r="AH9" s="76">
        <f>Kiadások!L16+Kiadások!L26+Kiadások!L39+Kiadások!L50+Kiadások!L60+Kiadások!L71+Kiadások!L85+Kiadások!L96+Kiadások!L107+Kiadások!L123+Kiadások!L136+Kiadások!L147+Kiadások!L165</f>
        <v>346908834</v>
      </c>
      <c r="AI9" s="76">
        <f>Kiadások!M16+Kiadások!M26+Kiadások!M39+Kiadások!M50+Kiadások!M60+Kiadások!M71+Kiadások!M85+Kiadások!M96+Kiadások!M107+Kiadások!M123+Kiadások!M136+Kiadások!M147+Kiadások!M165</f>
        <v>194079755</v>
      </c>
      <c r="AJ9" s="76">
        <f>Kiadások!N16+Kiadások!N26+Kiadások!N39+Kiadások!N50+Kiadások!N60+Kiadások!N71+Kiadások!N85+Kiadások!N96+Kiadások!N107+Kiadások!N123+Kiadások!N136+Kiadások!N147+Kiadások!N165</f>
        <v>1235489</v>
      </c>
      <c r="AK9" s="76">
        <f>Kiadások!O16+Kiadások!O26+Kiadások!O39+Kiadások!O50+Kiadások!O60+Kiadások!O71+Kiadások!O85+Kiadások!O96+Kiadások!O107+Kiadások!O123+Kiadások!O136+Kiadások!O147+Kiadások!O165</f>
        <v>4000000</v>
      </c>
      <c r="AL9" s="76">
        <f>Kiadások!P16+Kiadások!P26+Kiadások!P39+Kiadások!P50+Kiadások!P60+Kiadások!P71+Kiadások!P85+Kiadások!P96+Kiadások!P107+Kiadások!P123+Kiadások!P136+Kiadások!P147+Kiadások!P165</f>
        <v>0</v>
      </c>
      <c r="AM9" s="76">
        <f>Kiadások!Q16+Kiadások!Q26+Kiadások!Q39+Kiadások!Q50+Kiadások!Q60+Kiadások!Q71+Kiadások!Q85+Kiadások!Q96+Kiadások!Q107+Kiadások!Q123+Kiadások!Q136+Kiadások!Q147+Kiadások!Q165</f>
        <v>-414400</v>
      </c>
      <c r="AN9" s="76">
        <f>Kiadások!R16+Kiadások!R26+Kiadások!R39+Kiadások!R50+Kiadások!R60+Kiadások!R71+Kiadások!R85+Kiadások!R96+Kiadások!R107+Kiadások!R123+Kiadások!R136+Kiadások!R147+Kiadások!R165</f>
        <v>21350149</v>
      </c>
      <c r="AO9" s="76">
        <f>Kiadások!S16+Kiadások!S26+Kiadások!S39+Kiadások!S50+Kiadások!S60+Kiadások!S71+Kiadások!S85+Kiadások!S96+Kiadások!S107+Kiadások!S123+Kiadások!S136+Kiadások!S147+Kiadások!S165</f>
        <v>220250993</v>
      </c>
      <c r="AP9" s="76">
        <f>Kiadások!T16+Kiadások!T26+Kiadások!T39+Kiadások!T50+Kiadások!T60+Kiadások!T71+Kiadások!T85+Kiadások!T96+Kiadások!T107+Kiadások!T123+Kiadások!T136+Kiadások!T147+Kiadások!T165</f>
        <v>567159827</v>
      </c>
      <c r="AQ9" s="76">
        <f>Kiadások!U16+Kiadások!U26+Kiadások!U39+Kiadások!U50+Kiadások!U60+Kiadások!U71+Kiadások!U85+Kiadások!U96+Kiadások!U107+Kiadások!U123+Kiadások!U136+Kiadások!U147+Kiadások!U165</f>
        <v>8417800</v>
      </c>
      <c r="AR9" s="76">
        <f>Kiadások!V16+Kiadások!V26+Kiadások!V39+Kiadások!V50+Kiadások!V60+Kiadások!V71+Kiadások!V85+Kiadások!V96+Kiadások!V107+Kiadások!V123+Kiadások!V136+Kiadások!V147+Kiadások!V165</f>
        <v>18000000</v>
      </c>
      <c r="AS9" s="76">
        <f>Kiadások!W16+Kiadások!W26+Kiadások!W39+Kiadások!W50+Kiadások!W60+Kiadások!W71+Kiadások!W85+Kiadások!W96+Kiadások!W107+Kiadások!W123+Kiadások!W136+Kiadások!W147+Kiadások!W165</f>
        <v>0</v>
      </c>
      <c r="AT9" s="76">
        <f>Kiadások!X16+Kiadások!X26+Kiadások!X39+Kiadások!X50+Kiadások!X60+Kiadások!X71+Kiadások!X85+Kiadások!X96+Kiadások!X107+Kiadások!X123+Kiadások!X136+Kiadások!X147+Kiadások!X165</f>
        <v>-2850900</v>
      </c>
      <c r="AU9" s="76">
        <f>Kiadások!Y16+Kiadások!Y26+Kiadások!Y39+Kiadások!Y50+Kiadások!Y60+Kiadások!Y71+Kiadások!Y85+Kiadások!Y96+Kiadások!Y107+Kiadások!Y123+Kiadások!Y136+Kiadások!Y147+Kiadások!Y165</f>
        <v>6285927</v>
      </c>
      <c r="AV9" s="76">
        <f>Kiadások!Z16+Kiadások!Z26+Kiadások!Z39+Kiadások!Z50+Kiadások!Z60+Kiadások!Z71+Kiadások!Z85+Kiadások!Z96+Kiadások!Z107+Kiadások!Z123+Kiadások!Z136+Kiadások!Z147+Kiadások!Z165</f>
        <v>29852827</v>
      </c>
      <c r="AW9" s="76">
        <f>Kiadások!AA16+Kiadások!AA26+Kiadások!AA39+Kiadások!AA50+Kiadások!AA60+Kiadások!AA71+Kiadások!AA85+Kiadások!AA96+Kiadások!AA107+Kiadások!AA123+Kiadások!AA136+Kiadások!AA147+Kiadások!AA165</f>
        <v>597012654</v>
      </c>
      <c r="AX9" s="76">
        <f>Kiadások!AB16+Kiadások!AB26+Kiadások!AB39+Kiadások!AB50+Kiadások!AB60+Kiadások!AB71+Kiadások!AB85+Kiadások!AB96+Kiadások!AB107+Kiadások!AB123+Kiadások!AB136+Kiadások!AB147+Kiadások!AB165</f>
        <v>444500</v>
      </c>
      <c r="AY9" s="76">
        <f>Kiadások!AC16+Kiadások!AC26+Kiadások!AC39+Kiadások!AC50+Kiadások!AC60+Kiadások!AC71+Kiadások!AC85+Kiadások!AC96+Kiadások!AC107+Kiadások!AC123+Kiadások!AC136+Kiadások!AC147+Kiadások!AC165</f>
        <v>4202290</v>
      </c>
      <c r="AZ9" s="76">
        <f>Kiadások!AD16+Kiadások!AD26+Kiadások!AD39+Kiadások!AD50+Kiadások!AD60+Kiadások!AD71+Kiadások!AD85+Kiadások!AD96+Kiadások!AD107+Kiadások!AD123+Kiadások!AD136+Kiadások!AD147+Kiadások!AD165</f>
        <v>0</v>
      </c>
      <c r="BA9" s="76">
        <f>Kiadások!AE16+Kiadások!AE26+Kiadások!AE39+Kiadások!AE50+Kiadások!AE60+Kiadások!AE71+Kiadások!AE85+Kiadások!AE96+Kiadások!AE107+Kiadások!AE123+Kiadások!AE136+Kiadások!AE147+Kiadások!AE165</f>
        <v>-3026254</v>
      </c>
      <c r="BB9" s="76">
        <f>Kiadások!AF16+Kiadások!AF26+Kiadások!AF39+Kiadások!AF50+Kiadások!AF60+Kiadások!AF71+Kiadások!AF85+Kiadások!AF96+Kiadások!AF107+Kiadások!AF123+Kiadások!AF136+Kiadások!AF147+Kiadások!AF165</f>
        <v>6798000</v>
      </c>
      <c r="BC9" s="76">
        <f>Kiadások!AG16+Kiadások!AG26+Kiadások!AG39+Kiadások!AG50+Kiadások!AG60+Kiadások!AG71+Kiadások!AG85+Kiadások!AG96+Kiadások!AG107+Kiadások!AG123+Kiadások!AG136+Kiadások!AG147+Kiadások!AG165</f>
        <v>8418536</v>
      </c>
      <c r="BD9" s="76">
        <f>Kiadások!AH16+Kiadások!AH26+Kiadások!AH39+Kiadások!AH50+Kiadások!AH60+Kiadások!AH71+Kiadások!AH85+Kiadások!AH96+Kiadások!AH107+Kiadások!AH123+Kiadások!AH136+Kiadások!AH147+Kiadások!AH165</f>
        <v>605431190</v>
      </c>
      <c r="BE9" s="76">
        <f>Kiadások!AI16+Kiadások!AI26+Kiadások!AI39+Kiadások!AI50+Kiadások!AI60+Kiadások!AI71+Kiadások!AI85+Kiadások!AI96+Kiadások!AI107+Kiadások!AI123+Kiadások!AI136+Kiadások!AI147+Kiadások!AI165</f>
        <v>411066147</v>
      </c>
      <c r="BF9" s="824">
        <f>BE9/BD9*100</f>
        <v>67.896427172838585</v>
      </c>
    </row>
    <row r="10" spans="1:58" ht="23">
      <c r="A10" s="72" t="s">
        <v>522</v>
      </c>
      <c r="B10" s="73">
        <v>2</v>
      </c>
      <c r="C10" s="74"/>
      <c r="D10" s="74">
        <f>Bevételek!K92</f>
        <v>5417000</v>
      </c>
      <c r="E10" s="74">
        <f>Bevételek!L92</f>
        <v>5417000</v>
      </c>
      <c r="F10" s="74">
        <f>Bevételek!M92</f>
        <v>0</v>
      </c>
      <c r="G10" s="74">
        <f>Bevételek!N92</f>
        <v>0</v>
      </c>
      <c r="H10" s="74">
        <f>Bevételek!O92</f>
        <v>0</v>
      </c>
      <c r="I10" s="74">
        <f>Bevételek!P92</f>
        <v>0</v>
      </c>
      <c r="J10" s="74">
        <f>Bevételek!Q92</f>
        <v>0</v>
      </c>
      <c r="K10" s="74">
        <f>Bevételek!R92</f>
        <v>0</v>
      </c>
      <c r="L10" s="74">
        <f>Bevételek!S92</f>
        <v>0</v>
      </c>
      <c r="M10" s="74">
        <f>Bevételek!T92</f>
        <v>5417000</v>
      </c>
      <c r="N10" s="74">
        <f>Bevételek!U92</f>
        <v>0</v>
      </c>
      <c r="O10" s="74">
        <f>Bevételek!V92</f>
        <v>0</v>
      </c>
      <c r="P10" s="74">
        <f>Bevételek!W92</f>
        <v>0</v>
      </c>
      <c r="Q10" s="74">
        <f>Bevételek!X92</f>
        <v>0</v>
      </c>
      <c r="R10" s="74">
        <f>Bevételek!Y92</f>
        <v>0</v>
      </c>
      <c r="S10" s="74">
        <f>Bevételek!Z92</f>
        <v>0</v>
      </c>
      <c r="T10" s="74">
        <f>Bevételek!AA92</f>
        <v>5417000</v>
      </c>
      <c r="U10" s="74">
        <f>Bevételek!AB92</f>
        <v>0</v>
      </c>
      <c r="V10" s="74">
        <f>Bevételek!AC92</f>
        <v>0</v>
      </c>
      <c r="W10" s="74">
        <f>Bevételek!AD92</f>
        <v>0</v>
      </c>
      <c r="X10" s="74">
        <f>Bevételek!AE92</f>
        <v>0</v>
      </c>
      <c r="Y10" s="74">
        <f>Bevételek!AF92</f>
        <v>0</v>
      </c>
      <c r="Z10" s="74">
        <f>Bevételek!AG92</f>
        <v>0</v>
      </c>
      <c r="AA10" s="74">
        <f>Bevételek!AH92</f>
        <v>5417000</v>
      </c>
      <c r="AB10" s="74">
        <f>Bevételek!AI92</f>
        <v>5417000</v>
      </c>
      <c r="AC10" s="831">
        <f t="shared" ref="AC10:AC28" si="0">AB10/AA10*100</f>
        <v>100</v>
      </c>
      <c r="AD10" s="178" t="s">
        <v>237</v>
      </c>
      <c r="AE10" s="75">
        <v>7</v>
      </c>
      <c r="AF10" s="76">
        <f>Kiadások!J167+Kiadások!J148+Kiadások!J125+Kiadások!J97+Kiadások!J40+Kiadások!J27</f>
        <v>0</v>
      </c>
      <c r="AG10" s="76">
        <f>Kiadások!K167+Kiadások!K148+Kiadások!K125+Kiadások!K97+Kiadások!K40+Kiadások!K27+Kiadások!K108</f>
        <v>219559606</v>
      </c>
      <c r="AH10" s="76">
        <f>Kiadások!L167+Kiadások!L148+Kiadások!L125+Kiadások!L97+Kiadások!L40+Kiadások!L27+Kiadások!L108</f>
        <v>219559606</v>
      </c>
      <c r="AI10" s="76">
        <f>Kiadások!M167+Kiadások!M148+Kiadások!M125+Kiadások!M97+Kiadások!M40+Kiadások!M27+Kiadások!M108+Kiadások!M86</f>
        <v>187505474</v>
      </c>
      <c r="AJ10" s="76">
        <f>Kiadások!N167+Kiadások!N148+Kiadások!N125+Kiadások!N97+Kiadások!N40+Kiadások!N27+Kiadások!N108+Kiadások!N86</f>
        <v>0</v>
      </c>
      <c r="AK10" s="76">
        <f>Kiadások!O167+Kiadások!O148+Kiadások!O125+Kiadások!O97+Kiadások!O40+Kiadások!O27+Kiadások!O108+Kiadások!O86</f>
        <v>0</v>
      </c>
      <c r="AL10" s="76">
        <f>Kiadások!P167+Kiadások!P148+Kiadások!P125+Kiadások!P97+Kiadások!P40+Kiadások!P27+Kiadások!P108+Kiadások!P86</f>
        <v>0</v>
      </c>
      <c r="AM10" s="76">
        <f>Kiadások!Q167+Kiadások!Q148+Kiadások!Q125+Kiadások!Q97+Kiadások!Q40+Kiadások!Q27+Kiadások!Q108+Kiadások!Q86</f>
        <v>13000000</v>
      </c>
      <c r="AN10" s="76">
        <f>Kiadások!R167+Kiadások!R148+Kiadások!R125+Kiadások!R97+Kiadások!R40+Kiadások!R27+Kiadások!R108+Kiadások!R86</f>
        <v>4000000</v>
      </c>
      <c r="AO10" s="76">
        <f>Kiadások!S167+Kiadások!S148+Kiadások!S125+Kiadások!S97+Kiadások!S40+Kiadások!S27+Kiadások!S108+Kiadások!S86</f>
        <v>204505474</v>
      </c>
      <c r="AP10" s="76">
        <f>Kiadások!T167+Kiadások!T148+Kiadások!T125+Kiadások!T97+Kiadások!T40+Kiadások!T27+Kiadások!T108+Kiadások!T86</f>
        <v>424065080</v>
      </c>
      <c r="AQ10" s="76">
        <f>Kiadások!U167+Kiadások!U148+Kiadások!U125+Kiadások!U97+Kiadások!U40+Kiadások!U27+Kiadások!U108+Kiadások!U86+Kiadások!U61</f>
        <v>0</v>
      </c>
      <c r="AR10" s="76">
        <f>Kiadások!V167+Kiadások!V148+Kiadások!V125+Kiadások!V97+Kiadások!V40+Kiadások!V27+Kiadások!V108+Kiadások!V86+Kiadások!V61</f>
        <v>4014788</v>
      </c>
      <c r="AS10" s="76">
        <f>Kiadások!W167+Kiadások!W148+Kiadások!W125+Kiadások!W97+Kiadások!W40+Kiadások!W27+Kiadások!W108+Kiadások!W86+Kiadások!W61</f>
        <v>0</v>
      </c>
      <c r="AT10" s="76">
        <f>Kiadások!X167+Kiadások!X148+Kiadások!X125+Kiadások!X97+Kiadások!X40+Kiadások!X27+Kiadások!X108+Kiadások!X86+Kiadások!X61</f>
        <v>0</v>
      </c>
      <c r="AU10" s="76">
        <f>Kiadások!Y167+Kiadások!Y148+Kiadások!Y125+Kiadások!Y97+Kiadások!Y40+Kiadások!Y27+Kiadások!Y108+Kiadások!Y86+Kiadások!Y61</f>
        <v>1500000</v>
      </c>
      <c r="AV10" s="76">
        <f>Kiadások!Z167+Kiadások!Z148+Kiadások!Z125+Kiadások!Z97+Kiadások!Z40+Kiadások!Z27+Kiadások!Z108+Kiadások!Z86+Kiadások!Z61</f>
        <v>5514788</v>
      </c>
      <c r="AW10" s="76">
        <f>Kiadások!AA167+Kiadások!AA148+Kiadások!AA125+Kiadások!AA97+Kiadások!AA40+Kiadások!AA27+Kiadások!AA108+Kiadások!AA86+Kiadások!AA61</f>
        <v>429579868</v>
      </c>
      <c r="AX10" s="76">
        <f>Kiadások!AB167+Kiadások!AB148+Kiadások!AB125+Kiadások!AB97+Kiadások!AB40+Kiadások!AB27+Kiadások!AB108+Kiadások!AB86+Kiadások!AB61+Kiadások!AB137</f>
        <v>0</v>
      </c>
      <c r="AY10" s="76">
        <f>Kiadások!AC167+Kiadások!AC148+Kiadások!AC125+Kiadások!AC97+Kiadások!AC40+Kiadások!AC27+Kiadások!AC108+Kiadások!AC86+Kiadások!AC61+Kiadások!AC137</f>
        <v>26397290</v>
      </c>
      <c r="AZ10" s="76">
        <f>Kiadások!AD167+Kiadások!AD148+Kiadások!AD125+Kiadások!AD97+Kiadások!AD40+Kiadások!AD27+Kiadások!AD108+Kiadások!AD86+Kiadások!AD61+Kiadások!AD137</f>
        <v>0</v>
      </c>
      <c r="BA10" s="76">
        <f>Kiadások!AE167+Kiadások!AE148+Kiadások!AE125+Kiadások!AE97+Kiadások!AE40+Kiadások!AE27+Kiadások!AE108+Kiadások!AE86+Kiadások!AE61+Kiadások!AE137</f>
        <v>3863012</v>
      </c>
      <c r="BB10" s="76">
        <f>Kiadások!AF167+Kiadások!AF148+Kiadások!AF125+Kiadások!AF97+Kiadások!AF40+Kiadások!AF27+Kiadások!AF108+Kiadások!AF86+Kiadások!AF61+Kiadások!AF137</f>
        <v>0</v>
      </c>
      <c r="BC10" s="76">
        <f>Kiadások!AG167+Kiadások!AG148+Kiadások!AG125+Kiadások!AG97+Kiadások!AG40+Kiadások!AG27+Kiadások!AG108+Kiadások!AG86+Kiadások!AG61+Kiadások!AG137</f>
        <v>30260302</v>
      </c>
      <c r="BD10" s="76">
        <f>Kiadások!AH167+Kiadások!AH148+Kiadások!AH125+Kiadások!AH97+Kiadások!AH40+Kiadások!AH27+Kiadások!AH108+Kiadások!AH86+Kiadások!AH61+Kiadások!AH137</f>
        <v>459840170</v>
      </c>
      <c r="BE10" s="76">
        <f>Kiadások!AI167+Kiadások!AI148+Kiadások!AI125+Kiadások!AI97+Kiadások!AI40+Kiadások!AI27+Kiadások!AI108+Kiadások!AI86+Kiadások!AI61+Kiadások!AI137</f>
        <v>355713465</v>
      </c>
      <c r="BF10" s="824">
        <f>BE10/BD10*100</f>
        <v>77.35589193958414</v>
      </c>
    </row>
    <row r="11" spans="1:58" ht="23">
      <c r="A11" s="72" t="s">
        <v>321</v>
      </c>
      <c r="B11" s="73">
        <v>2</v>
      </c>
      <c r="C11" s="74">
        <f>Bevételek!J106</f>
        <v>0</v>
      </c>
      <c r="D11" s="74">
        <f>Bevételek!K106</f>
        <v>114446161</v>
      </c>
      <c r="E11" s="74">
        <f>Bevételek!L106+Bevételek!L114+Bevételek!L81+Bevételek!L71+Bevételek!L12</f>
        <v>114446161</v>
      </c>
      <c r="F11" s="74">
        <f>Bevételek!M106+Bevételek!M114+Bevételek!M81+Bevételek!M71+Bevételek!M12</f>
        <v>0</v>
      </c>
      <c r="G11" s="74">
        <f>Bevételek!N106+Bevételek!N114+Bevételek!N81+Bevételek!N71+Bevételek!N12</f>
        <v>0</v>
      </c>
      <c r="H11" s="74">
        <f>Bevételek!O106+Bevételek!O114+Bevételek!O81+Bevételek!O71+Bevételek!O12</f>
        <v>0</v>
      </c>
      <c r="I11" s="74">
        <f>Bevételek!P106+Bevételek!P114+Bevételek!P81+Bevételek!P71+Bevételek!P12</f>
        <v>0</v>
      </c>
      <c r="J11" s="74">
        <f>Bevételek!Q106+Bevételek!Q114+Bevételek!Q81+Bevételek!Q71+Bevételek!Q12</f>
        <v>0</v>
      </c>
      <c r="K11" s="74">
        <f>Bevételek!R106+Bevételek!R114+Bevételek!R81+Bevételek!R71+Bevételek!R12</f>
        <v>24780190</v>
      </c>
      <c r="L11" s="74">
        <f>Bevételek!S106+Bevételek!S114+Bevételek!S81+Bevételek!S71+Bevételek!S12</f>
        <v>24780190</v>
      </c>
      <c r="M11" s="74">
        <f>Bevételek!T106+Bevételek!T114+Bevételek!T81+Bevételek!T71+Bevételek!T12</f>
        <v>139226351</v>
      </c>
      <c r="N11" s="74">
        <f>Bevételek!U106+Bevételek!U114+Bevételek!U81+Bevételek!U71+Bevételek!U12</f>
        <v>0</v>
      </c>
      <c r="O11" s="74">
        <f>Bevételek!V106+Bevételek!V114+Bevételek!V81+Bevételek!V71+Bevételek!V12</f>
        <v>0</v>
      </c>
      <c r="P11" s="74">
        <f>Bevételek!W106+Bevételek!W114+Bevételek!W81+Bevételek!W71+Bevételek!W12</f>
        <v>0</v>
      </c>
      <c r="Q11" s="74">
        <f>Bevételek!X106+Bevételek!X114+Bevételek!X81+Bevételek!X71+Bevételek!X12</f>
        <v>0</v>
      </c>
      <c r="R11" s="74">
        <f>Bevételek!Y106+Bevételek!Y114+Bevételek!Y81+Bevételek!Y71+Bevételek!Y12</f>
        <v>6224531</v>
      </c>
      <c r="S11" s="74">
        <f>Bevételek!Z106+Bevételek!Z114+Bevételek!Z81+Bevételek!Z71+Bevételek!Z12</f>
        <v>6224531</v>
      </c>
      <c r="T11" s="74">
        <f>Bevételek!AA106+Bevételek!AA114+Bevételek!AA81+Bevételek!AA71+Bevételek!AA12</f>
        <v>145450882</v>
      </c>
      <c r="U11" s="74">
        <f>Bevételek!AB106+Bevételek!AB114+Bevételek!AB81+Bevételek!AB71+Bevételek!AB12</f>
        <v>0</v>
      </c>
      <c r="V11" s="74">
        <f>Bevételek!AC106+Bevételek!AC114+Bevételek!AC81+Bevételek!AC71+Bevételek!AC12+Bevételek!AC29</f>
        <v>18099355</v>
      </c>
      <c r="W11" s="74">
        <f>Bevételek!AD106+Bevételek!AD114+Bevételek!AD81+Bevételek!AD71+Bevételek!AD12+Bevételek!AD29</f>
        <v>0</v>
      </c>
      <c r="X11" s="74">
        <f>Bevételek!AE106+Bevételek!AE114+Bevételek!AE81+Bevételek!AE71+Bevételek!AE12+Bevételek!AE29</f>
        <v>0</v>
      </c>
      <c r="Y11" s="74">
        <f>Bevételek!AF106+Bevételek!AF114+Bevételek!AF81+Bevételek!AF71+Bevételek!AF12+Bevételek!AF29</f>
        <v>6500000</v>
      </c>
      <c r="Z11" s="74">
        <f>Bevételek!AG106+Bevételek!AG114+Bevételek!AG81+Bevételek!AG71+Bevételek!AG12+Bevételek!AG29</f>
        <v>24599355</v>
      </c>
      <c r="AA11" s="74">
        <f>Bevételek!AH106+Bevételek!AH114+Bevételek!AH81+Bevételek!AH71+Bevételek!AH12+Bevételek!AH29</f>
        <v>170050237</v>
      </c>
      <c r="AB11" s="74">
        <f>Bevételek!AI106+Bevételek!AI114+Bevételek!AI81+Bevételek!AI71+Bevételek!AI12+Bevételek!AI29</f>
        <v>170050237</v>
      </c>
      <c r="AC11" s="831">
        <f t="shared" si="0"/>
        <v>100</v>
      </c>
      <c r="AD11" s="178" t="s">
        <v>523</v>
      </c>
      <c r="AE11" s="35">
        <v>8</v>
      </c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824"/>
    </row>
    <row r="12" spans="1:58">
      <c r="A12" s="72" t="s">
        <v>530</v>
      </c>
      <c r="B12" s="73">
        <v>3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831"/>
      <c r="AD12" s="178"/>
      <c r="AE12" s="75"/>
      <c r="AF12" s="76"/>
      <c r="AG12" s="76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824"/>
    </row>
    <row r="13" spans="1:58">
      <c r="A13" s="72" t="s">
        <v>531</v>
      </c>
      <c r="B13" s="73">
        <v>4</v>
      </c>
      <c r="C13" s="74">
        <f>Bevételek!J10+Bevételek!J18+Bevételek!J27+Bevételek!J36+Bevételek!J44+Bevételek!J51+Bevételek!J58+Bevételek!J68+Bevételek!J78+Bevételek!J87+Bevételek!J101+Bevételek!J112+Bevételek!J121</f>
        <v>1568415805</v>
      </c>
      <c r="D13" s="74">
        <f>Bevételek!K10+Bevételek!K18+Bevételek!K27+Bevételek!K36+Bevételek!K44+Bevételek!K51+Bevételek!K58+Bevételek!K68+Bevételek!K78+Bevételek!K87+Bevételek!K101+Bevételek!K112+Bevételek!K121</f>
        <v>0</v>
      </c>
      <c r="E13" s="74">
        <f>Bevételek!L10+Bevételek!L18+Bevételek!L27+Bevételek!L36+Bevételek!L44+Bevételek!L51+Bevételek!L58+Bevételek!L68+Bevételek!L78+Bevételek!L87+Bevételek!L101+Bevételek!L112+Bevételek!L121</f>
        <v>1568415805</v>
      </c>
      <c r="F13" s="74">
        <f>Bevételek!M10+Bevételek!M18+Bevételek!M27+Bevételek!M36+Bevételek!M44+Bevételek!M51+Bevételek!M58+Bevételek!M68+Bevételek!M78+Bevételek!M87+Bevételek!M101+Bevételek!M112+Bevételek!M121</f>
        <v>0</v>
      </c>
      <c r="G13" s="74">
        <f>Bevételek!N10+Bevételek!N18+Bevételek!N27+Bevételek!N36+Bevételek!N44+Bevételek!N51+Bevételek!N58+Bevételek!N68+Bevételek!N78+Bevételek!N87+Bevételek!N101+Bevételek!N112+Bevételek!N121</f>
        <v>0</v>
      </c>
      <c r="H13" s="74">
        <f>Bevételek!O10+Bevételek!O18+Bevételek!O27+Bevételek!O36+Bevételek!O44+Bevételek!O51+Bevételek!O58+Bevételek!O68+Bevételek!O78+Bevételek!O87+Bevételek!O101+Bevételek!O112+Bevételek!O121</f>
        <v>0</v>
      </c>
      <c r="I13" s="74">
        <f>Bevételek!P10+Bevételek!P18+Bevételek!P27+Bevételek!P36+Bevételek!P44+Bevételek!P51+Bevételek!P58+Bevételek!P68+Bevételek!P78+Bevételek!P87+Bevételek!P101+Bevételek!P112+Bevételek!P121</f>
        <v>0</v>
      </c>
      <c r="J13" s="74">
        <f>Bevételek!Q10+Bevételek!Q18+Bevételek!Q27+Bevételek!Q36+Bevételek!Q44+Bevételek!Q51+Bevételek!Q58+Bevételek!Q68+Bevételek!Q78+Bevételek!Q87+Bevételek!Q101+Bevételek!Q112+Bevételek!Q121</f>
        <v>0</v>
      </c>
      <c r="K13" s="74">
        <f>Bevételek!R10+Bevételek!R18+Bevételek!R27+Bevételek!R36+Bevételek!R44+Bevételek!R51+Bevételek!R58+Bevételek!R68+Bevételek!R78+Bevételek!R87+Bevételek!R101+Bevételek!R112+Bevételek!R121</f>
        <v>0</v>
      </c>
      <c r="L13" s="74">
        <f>Bevételek!S10+Bevételek!S18+Bevételek!S27+Bevételek!S36+Bevételek!S44+Bevételek!S51+Bevételek!S58+Bevételek!S68+Bevételek!S78+Bevételek!S87+Bevételek!S101+Bevételek!S112+Bevételek!S121</f>
        <v>0</v>
      </c>
      <c r="M13" s="74">
        <f>Bevételek!T10+Bevételek!T18+Bevételek!T27+Bevételek!T36+Bevételek!T44+Bevételek!T51+Bevételek!T58+Bevételek!T68+Bevételek!T78+Bevételek!T87+Bevételek!T101+Bevételek!T112+Bevételek!T121</f>
        <v>1568415805</v>
      </c>
      <c r="N13" s="74">
        <f>Bevételek!U10+Bevételek!U18+Bevételek!U27+Bevételek!U36+Bevételek!U44+Bevételek!U51+Bevételek!U58+Bevételek!U68+Bevételek!U78+Bevételek!U87+Bevételek!U101+Bevételek!U112+Bevételek!U121</f>
        <v>0</v>
      </c>
      <c r="O13" s="74">
        <f>Bevételek!V10+Bevételek!V18+Bevételek!V27+Bevételek!V36+Bevételek!V44+Bevételek!V51+Bevételek!V58+Bevételek!V68+Bevételek!V78+Bevételek!V87+Bevételek!V101+Bevételek!V112+Bevételek!V121</f>
        <v>5560000</v>
      </c>
      <c r="P13" s="74">
        <f>Bevételek!W10+Bevételek!W18+Bevételek!W27+Bevételek!W36+Bevételek!W44+Bevételek!W51+Bevételek!W58+Bevételek!W68+Bevételek!W78+Bevételek!W87+Bevételek!W101+Bevételek!W112+Bevételek!W121</f>
        <v>0</v>
      </c>
      <c r="Q13" s="74">
        <f>Bevételek!X10+Bevételek!X18+Bevételek!X27+Bevételek!X36+Bevételek!X44+Bevételek!X51+Bevételek!X58+Bevételek!X68+Bevételek!X78+Bevételek!X87+Bevételek!X101+Bevételek!X112+Bevételek!X121</f>
        <v>0</v>
      </c>
      <c r="R13" s="74">
        <f>Bevételek!Y10+Bevételek!Y18+Bevételek!Y27+Bevételek!Y36+Bevételek!Y44+Bevételek!Y51+Bevételek!Y58+Bevételek!Y68+Bevételek!Y78+Bevételek!Y87+Bevételek!Y101+Bevételek!Y112+Bevételek!Y121</f>
        <v>0</v>
      </c>
      <c r="S13" s="74">
        <f>Bevételek!Z10+Bevételek!Z18+Bevételek!Z27+Bevételek!Z36+Bevételek!Z44+Bevételek!Z51+Bevételek!Z58+Bevételek!Z68+Bevételek!Z78+Bevételek!Z87+Bevételek!Z101+Bevételek!Z112+Bevételek!Z121</f>
        <v>5560000</v>
      </c>
      <c r="T13" s="74">
        <f>Bevételek!AA10+Bevételek!AA18+Bevételek!AA27+Bevételek!AA36+Bevételek!AA44+Bevételek!AA51+Bevételek!AA58+Bevételek!AA68+Bevételek!AA78+Bevételek!AA87+Bevételek!AA101+Bevételek!AA112+Bevételek!AA121</f>
        <v>1573975805</v>
      </c>
      <c r="U13" s="74">
        <f>Bevételek!AB10+Bevételek!AB18+Bevételek!AB27+Bevételek!AB36+Bevételek!AB44+Bevételek!AB51+Bevételek!AB58+Bevételek!AB68+Bevételek!AB78+Bevételek!AB87+Bevételek!AB101+Bevételek!AB112+Bevételek!AB121</f>
        <v>0</v>
      </c>
      <c r="V13" s="74">
        <f>Bevételek!AC10+Bevételek!AC18+Bevételek!AC27+Bevételek!AC36+Bevételek!AC44+Bevételek!AC51+Bevételek!AC58+Bevételek!AC68+Bevételek!AC78+Bevételek!AC87+Bevételek!AC101+Bevételek!AC112+Bevételek!AC121</f>
        <v>164498753</v>
      </c>
      <c r="W13" s="74">
        <f>Bevételek!AD10+Bevételek!AD18+Bevételek!AD27+Bevételek!AD36+Bevételek!AD44+Bevételek!AD51+Bevételek!AD58+Bevételek!AD68+Bevételek!AD78+Bevételek!AD87+Bevételek!AD101+Bevételek!AD112+Bevételek!AD121</f>
        <v>0</v>
      </c>
      <c r="X13" s="74">
        <f>Bevételek!AE10+Bevételek!AE18+Bevételek!AE27+Bevételek!AE36+Bevételek!AE44+Bevételek!AE51+Bevételek!AE58+Bevételek!AE68+Bevételek!AE78+Bevételek!AE87+Bevételek!AE101+Bevételek!AE112+Bevételek!AE121</f>
        <v>0</v>
      </c>
      <c r="Y13" s="74">
        <f>Bevételek!AF10+Bevételek!AF18+Bevételek!AF27+Bevételek!AF36+Bevételek!AF44+Bevételek!AF51+Bevételek!AF58+Bevételek!AF68+Bevételek!AF78+Bevételek!AF87+Bevételek!AF101+Bevételek!AF112+Bevételek!AF121</f>
        <v>0</v>
      </c>
      <c r="Z13" s="74">
        <f>Bevételek!AG10+Bevételek!AG18+Bevételek!AG27+Bevételek!AG36+Bevételek!AG44+Bevételek!AG51+Bevételek!AG58+Bevételek!AG68+Bevételek!AG78+Bevételek!AG87+Bevételek!AG101+Bevételek!AG112+Bevételek!AG121</f>
        <v>164498753</v>
      </c>
      <c r="AA13" s="74">
        <f>Bevételek!AH10+Bevételek!AH18+Bevételek!AH27+Bevételek!AH36+Bevételek!AH44+Bevételek!AH51+Bevételek!AH58+Bevételek!AH68+Bevételek!AH78+Bevételek!AH87+Bevételek!AH101+Bevételek!AH112+Bevételek!AH121</f>
        <v>1738474558</v>
      </c>
      <c r="AB13" s="74">
        <f>Bevételek!AI10+Bevételek!AI18+Bevételek!AI27+Bevételek!AI36+Bevételek!AI44+Bevételek!AI51+Bevételek!AI58+Bevételek!AI68+Bevételek!AI78+Bevételek!AI87+Bevételek!AI101+Bevételek!AI112+Bevételek!AI121</f>
        <v>1729581138</v>
      </c>
      <c r="AC13" s="831">
        <f t="shared" si="0"/>
        <v>99.488435424086319</v>
      </c>
      <c r="AD13" s="178"/>
      <c r="AE13" s="75"/>
      <c r="AF13" s="76"/>
      <c r="AG13" s="76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824"/>
    </row>
    <row r="14" spans="1:58">
      <c r="A14" s="72" t="s">
        <v>377</v>
      </c>
      <c r="B14" s="73">
        <v>5</v>
      </c>
      <c r="C14" s="74"/>
      <c r="D14" s="74">
        <f>Bevételek!K104</f>
        <v>0</v>
      </c>
      <c r="E14" s="74">
        <f>Bevételek!L104</f>
        <v>0</v>
      </c>
      <c r="F14" s="74">
        <f>Bevételek!M104</f>
        <v>0</v>
      </c>
      <c r="G14" s="74">
        <f>Bevételek!N104</f>
        <v>0</v>
      </c>
      <c r="H14" s="74">
        <f>Bevételek!O104</f>
        <v>0</v>
      </c>
      <c r="I14" s="74">
        <f>Bevételek!P104</f>
        <v>0</v>
      </c>
      <c r="J14" s="74">
        <f>Bevételek!Q104</f>
        <v>0</v>
      </c>
      <c r="K14" s="74">
        <f>Bevételek!R104</f>
        <v>0</v>
      </c>
      <c r="L14" s="74">
        <f>Bevételek!S104</f>
        <v>0</v>
      </c>
      <c r="M14" s="74">
        <f>Bevételek!T104</f>
        <v>0</v>
      </c>
      <c r="N14" s="74">
        <f>Bevételek!U104+Bevételek!U61</f>
        <v>0</v>
      </c>
      <c r="O14" s="74">
        <f>Bevételek!V104+Bevételek!V61+Bevételek!V115+Bevételek!V94+Bevételek!V30</f>
        <v>0</v>
      </c>
      <c r="P14" s="74">
        <f>Bevételek!W104+Bevételek!W61+Bevételek!W115+Bevételek!W94+Bevételek!W30</f>
        <v>0</v>
      </c>
      <c r="Q14" s="74">
        <f>Bevételek!X104+Bevételek!X61+Bevételek!X115+Bevételek!X94+Bevételek!X30</f>
        <v>0</v>
      </c>
      <c r="R14" s="74">
        <f>Bevételek!Y104+Bevételek!Y61+Bevételek!Y115+Bevételek!Y94+Bevételek!Y30</f>
        <v>0</v>
      </c>
      <c r="S14" s="74">
        <f>Bevételek!Z104+Bevételek!Z61+Bevételek!Z115+Bevételek!Z94+Bevételek!Z30</f>
        <v>0</v>
      </c>
      <c r="T14" s="74">
        <f>Bevételek!AA104+Bevételek!AA61+Bevételek!AA115+Bevételek!AA94+Bevételek!AA30</f>
        <v>0</v>
      </c>
      <c r="U14" s="74">
        <f>Bevételek!AB104+Bevételek!AB61+Bevételek!AB115+Bevételek!AB94+Bevételek!AB30</f>
        <v>0</v>
      </c>
      <c r="V14" s="74">
        <f>Bevételek!AC104+Bevételek!AC61+Bevételek!AC115+Bevételek!AC94+Bevételek!AC30+Bevételek!AC72</f>
        <v>576220</v>
      </c>
      <c r="W14" s="74">
        <f>Bevételek!AD104+Bevételek!AD61+Bevételek!AD115+Bevételek!AD94+Bevételek!AD30+Bevételek!AD72</f>
        <v>0</v>
      </c>
      <c r="X14" s="74">
        <f>Bevételek!AE104+Bevételek!AE61+Bevételek!AE115+Bevételek!AE94+Bevételek!AE30+Bevételek!AE72</f>
        <v>0</v>
      </c>
      <c r="Y14" s="74">
        <f>Bevételek!AF104+Bevételek!AF61+Bevételek!AF115+Bevételek!AF94+Bevételek!AF30+Bevételek!AF72</f>
        <v>0</v>
      </c>
      <c r="Z14" s="74">
        <f>Bevételek!AG104+Bevételek!AG61+Bevételek!AG115+Bevételek!AG94+Bevételek!AG30+Bevételek!AG72</f>
        <v>576220</v>
      </c>
      <c r="AA14" s="74">
        <f>Bevételek!AH104+Bevételek!AH61+Bevételek!AH115+Bevételek!AH94+Bevételek!AH30+Bevételek!AH72</f>
        <v>576220</v>
      </c>
      <c r="AB14" s="74">
        <f>Bevételek!AI104+Bevételek!AI61+Bevételek!AI115+Bevételek!AI94+Bevételek!AI30+Bevételek!AI72</f>
        <v>1269474</v>
      </c>
      <c r="AC14" s="831">
        <f t="shared" si="0"/>
        <v>220.3106452396654</v>
      </c>
      <c r="AD14" s="178"/>
      <c r="AE14" s="75"/>
      <c r="AF14" s="76"/>
      <c r="AG14" s="76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824"/>
    </row>
    <row r="15" spans="1:58">
      <c r="A15" s="72" t="s">
        <v>532</v>
      </c>
      <c r="B15" s="73">
        <v>6</v>
      </c>
      <c r="C15" s="74">
        <f>Bevételek!J19+Bevételek!J37+Bevételek!J69+Bevételek!J79+Bevételek!J89</f>
        <v>120700000</v>
      </c>
      <c r="D15" s="74">
        <f>Bevételek!K19+Bevételek!K37+Bevételek!K69+Bevételek!K79+Bevételek!K89</f>
        <v>0</v>
      </c>
      <c r="E15" s="74">
        <f>Bevételek!L19+Bevételek!L37+Bevételek!L69+Bevételek!L79+Bevételek!L89</f>
        <v>120700000</v>
      </c>
      <c r="F15" s="74">
        <f>Bevételek!M19+Bevételek!M37+Bevételek!M69+Bevételek!M79+Bevételek!M89</f>
        <v>0</v>
      </c>
      <c r="G15" s="74">
        <f>Bevételek!N19+Bevételek!N37+Bevételek!N69+Bevételek!N79+Bevételek!N89</f>
        <v>0</v>
      </c>
      <c r="H15" s="74">
        <f>Bevételek!O19+Bevételek!O37+Bevételek!O69+Bevételek!O79+Bevételek!O89</f>
        <v>0</v>
      </c>
      <c r="I15" s="74">
        <f>Bevételek!P19+Bevételek!P37+Bevételek!P69+Bevételek!P79+Bevételek!P89</f>
        <v>0</v>
      </c>
      <c r="J15" s="74">
        <f>Bevételek!Q19+Bevételek!Q37+Bevételek!Q69+Bevételek!Q79+Bevételek!Q89</f>
        <v>0</v>
      </c>
      <c r="K15" s="74">
        <f>Bevételek!R19+Bevételek!R37+Bevételek!R69+Bevételek!R79+Bevételek!R89</f>
        <v>4600000</v>
      </c>
      <c r="L15" s="74">
        <f>Bevételek!S19+Bevételek!S37+Bevételek!S69+Bevételek!S79+Bevételek!S89</f>
        <v>4600000</v>
      </c>
      <c r="M15" s="74">
        <f>Bevételek!T19+Bevételek!T37+Bevételek!T69+Bevételek!T79+Bevételek!T89+Bevételek!T102</f>
        <v>125300000</v>
      </c>
      <c r="N15" s="74">
        <f>Bevételek!U19+Bevételek!U37+Bevételek!U69+Bevételek!U79+Bevételek!U89+Bevételek!U102</f>
        <v>0</v>
      </c>
      <c r="O15" s="74">
        <f>Bevételek!V19+Bevételek!V37+Bevételek!V69+Bevételek!V79+Bevételek!V89+Bevételek!V102</f>
        <v>2000000</v>
      </c>
      <c r="P15" s="74">
        <f>Bevételek!W19+Bevételek!W37+Bevételek!W69+Bevételek!W79+Bevételek!W89+Bevételek!W102</f>
        <v>0</v>
      </c>
      <c r="Q15" s="74">
        <f>Bevételek!X19+Bevételek!X37+Bevételek!X69+Bevételek!X79+Bevételek!X89+Bevételek!X102</f>
        <v>0</v>
      </c>
      <c r="R15" s="74">
        <f>Bevételek!Y19+Bevételek!Y37+Bevételek!Y69+Bevételek!Y79+Bevételek!Y89+Bevételek!Y102</f>
        <v>5598000</v>
      </c>
      <c r="S15" s="74">
        <f>Bevételek!Z19+Bevételek!Z37+Bevételek!Z69+Bevételek!Z79+Bevételek!Z89+Bevételek!Z102</f>
        <v>7598000</v>
      </c>
      <c r="T15" s="74">
        <f>Bevételek!AA19+Bevételek!AA37+Bevételek!AA69+Bevételek!AA79+Bevételek!AA89+Bevételek!AA102</f>
        <v>132898000</v>
      </c>
      <c r="U15" s="74">
        <f>Bevételek!AB19+Bevételek!AB37+Bevételek!AB69+Bevételek!AB79+Bevételek!AB89+Bevételek!AB102</f>
        <v>0</v>
      </c>
      <c r="V15" s="74">
        <f>Bevételek!AC19+Bevételek!AC37+Bevételek!AC69+Bevételek!AC79+Bevételek!AC89+Bevételek!AC102</f>
        <v>0</v>
      </c>
      <c r="W15" s="74">
        <f>Bevételek!AD19+Bevételek!AD37+Bevételek!AD69+Bevételek!AD79+Bevételek!AD89+Bevételek!AD102</f>
        <v>0</v>
      </c>
      <c r="X15" s="74">
        <f>Bevételek!AE19+Bevételek!AE37+Bevételek!AE69+Bevételek!AE79+Bevételek!AE89+Bevételek!AE102</f>
        <v>0</v>
      </c>
      <c r="Y15" s="74">
        <f>Bevételek!AF19+Bevételek!AF37+Bevételek!AF69+Bevételek!AF79+Bevételek!AF89+Bevételek!AF102</f>
        <v>17719510</v>
      </c>
      <c r="Z15" s="74">
        <f>Bevételek!AG19+Bevételek!AG37+Bevételek!AG69+Bevételek!AG79+Bevételek!AG89+Bevételek!AG102</f>
        <v>17719510</v>
      </c>
      <c r="AA15" s="74">
        <f>Bevételek!AH19+Bevételek!AH37+Bevételek!AH69+Bevételek!AH79+Bevételek!AH89+Bevételek!AH102</f>
        <v>150617510</v>
      </c>
      <c r="AB15" s="74">
        <f>Bevételek!AI19+Bevételek!AI37+Bevételek!AI69+Bevételek!AI79+Bevételek!AI89+Bevételek!AI102</f>
        <v>150615207</v>
      </c>
      <c r="AC15" s="831">
        <f t="shared" si="0"/>
        <v>99.998470961311199</v>
      </c>
      <c r="AD15" s="178"/>
      <c r="AE15" s="75"/>
      <c r="AF15" s="76"/>
      <c r="AG15" s="76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824"/>
    </row>
    <row r="16" spans="1:58">
      <c r="A16" s="72" t="s">
        <v>319</v>
      </c>
      <c r="B16" s="73">
        <v>7</v>
      </c>
      <c r="C16" s="74"/>
      <c r="D16" s="74">
        <f>Bevételek!K21</f>
        <v>173722606</v>
      </c>
      <c r="E16" s="74">
        <f>Bevételek!L21</f>
        <v>173722606</v>
      </c>
      <c r="F16" s="74">
        <f>Bevételek!M21+Bevételek!M105</f>
        <v>0</v>
      </c>
      <c r="G16" s="74">
        <f>Bevételek!N21+Bevételek!N105</f>
        <v>0</v>
      </c>
      <c r="H16" s="74">
        <f>Bevételek!O21+Bevételek!O105</f>
        <v>0</v>
      </c>
      <c r="I16" s="74">
        <f>Bevételek!P21+Bevételek!P105</f>
        <v>0</v>
      </c>
      <c r="J16" s="74">
        <f>Bevételek!Q21+Bevételek!Q105</f>
        <v>0</v>
      </c>
      <c r="K16" s="74">
        <f>Bevételek!R21+Bevételek!R105</f>
        <v>569959</v>
      </c>
      <c r="L16" s="74">
        <f>Bevételek!S21+Bevételek!S105</f>
        <v>569959</v>
      </c>
      <c r="M16" s="74">
        <f>Bevételek!T21+Bevételek!T105</f>
        <v>174292565</v>
      </c>
      <c r="N16" s="74">
        <f>Bevételek!U21+Bevételek!U105</f>
        <v>0</v>
      </c>
      <c r="O16" s="74">
        <f>Bevételek!V21+Bevételek!V105</f>
        <v>0</v>
      </c>
      <c r="P16" s="74">
        <f>Bevételek!W21+Bevételek!W105</f>
        <v>0</v>
      </c>
      <c r="Q16" s="74">
        <f>Bevételek!X21+Bevételek!X105</f>
        <v>0</v>
      </c>
      <c r="R16" s="74">
        <f>Bevételek!Y21+Bevételek!Y105</f>
        <v>1561396</v>
      </c>
      <c r="S16" s="74">
        <f>Bevételek!Z21+Bevételek!Z105</f>
        <v>1561396</v>
      </c>
      <c r="T16" s="74">
        <f>Bevételek!AA21+Bevételek!AA105</f>
        <v>175853961</v>
      </c>
      <c r="U16" s="74">
        <f>Bevételek!AB21+Bevételek!AB105</f>
        <v>0</v>
      </c>
      <c r="V16" s="74">
        <f>Bevételek!AC21+Bevételek!AC105</f>
        <v>0</v>
      </c>
      <c r="W16" s="74">
        <f>Bevételek!AD21+Bevételek!AD105</f>
        <v>0</v>
      </c>
      <c r="X16" s="74">
        <f>Bevételek!AE21+Bevételek!AE105</f>
        <v>0</v>
      </c>
      <c r="Y16" s="74">
        <f>Bevételek!AF21+Bevételek!AF105</f>
        <v>103000</v>
      </c>
      <c r="Z16" s="74">
        <f>Bevételek!AG21+Bevételek!AG105</f>
        <v>103000</v>
      </c>
      <c r="AA16" s="74">
        <f>Bevételek!AH21+Bevételek!AH105</f>
        <v>175956961</v>
      </c>
      <c r="AB16" s="74">
        <f>Bevételek!AI21+Bevételek!AI105</f>
        <v>175956961</v>
      </c>
      <c r="AC16" s="831">
        <f t="shared" si="0"/>
        <v>100</v>
      </c>
      <c r="AD16" s="179"/>
      <c r="AE16" s="58"/>
      <c r="AF16" s="76"/>
      <c r="AG16" s="76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824"/>
    </row>
    <row r="17" spans="1:58">
      <c r="A17" s="72" t="s">
        <v>595</v>
      </c>
      <c r="B17" s="73">
        <v>8</v>
      </c>
      <c r="C17" s="74"/>
      <c r="D17" s="74"/>
      <c r="E17" s="74"/>
      <c r="F17" s="74">
        <f>Bevételek!M127+Bevételek!M116+Bevételek!M107+Bevételek!M95+Bevételek!M82+Bevételek!M73+Bevételek!M62+Bevételek!M53+Bevételek!M46+Bevételek!M39+Bevételek!M31+Bevételek!M22+Bevételek!M13</f>
        <v>838525434</v>
      </c>
      <c r="G17" s="74">
        <f>Bevételek!N127+Bevételek!N116+Bevételek!N107+Bevételek!N95+Bevételek!N82+Bevételek!N73+Bevételek!N62+Bevételek!N53+Bevételek!N46+Bevételek!N39+Bevételek!N31+Bevételek!N22+Bevételek!N13</f>
        <v>0</v>
      </c>
      <c r="H17" s="74">
        <f>Bevételek!O127+Bevételek!O116+Bevételek!O107+Bevételek!O95+Bevételek!O82+Bevételek!O73+Bevételek!O62+Bevételek!O53+Bevételek!O46+Bevételek!O39+Bevételek!O31+Bevételek!O22+Bevételek!O13</f>
        <v>0</v>
      </c>
      <c r="I17" s="74">
        <f>Bevételek!P127+Bevételek!P116+Bevételek!P107+Bevételek!P95+Bevételek!P82+Bevételek!P73+Bevételek!P62+Bevételek!P53+Bevételek!P46+Bevételek!P39+Bevételek!P31+Bevételek!P22+Bevételek!P13</f>
        <v>0</v>
      </c>
      <c r="J17" s="74">
        <f>Bevételek!Q127+Bevételek!Q116+Bevételek!Q107+Bevételek!Q95+Bevételek!Q82+Bevételek!Q73+Bevételek!Q62+Bevételek!Q53+Bevételek!Q46+Bevételek!Q39+Bevételek!Q31+Bevételek!Q22+Bevételek!Q13</f>
        <v>0</v>
      </c>
      <c r="K17" s="74">
        <f>Bevételek!R127+Bevételek!R116+Bevételek!R107+Bevételek!R95+Bevételek!R82+Bevételek!R73+Bevételek!R62+Bevételek!R53+Bevételek!R46+Bevételek!R39+Bevételek!R31+Bevételek!R22+Bevételek!R13</f>
        <v>0</v>
      </c>
      <c r="L17" s="74">
        <f>Bevételek!S127+Bevételek!S116+Bevételek!S107+Bevételek!S95+Bevételek!S82+Bevételek!S73+Bevételek!S62+Bevételek!S53+Bevételek!S46+Bevételek!S39+Bevételek!S31+Bevételek!S22+Bevételek!S13</f>
        <v>838525434</v>
      </c>
      <c r="M17" s="74">
        <f>Bevételek!T127+Bevételek!T116+Bevételek!T107+Bevételek!T95+Bevételek!T82+Bevételek!T73+Bevételek!T62+Bevételek!T53+Bevételek!T46+Bevételek!T39+Bevételek!T31+Bevételek!T22+Bevételek!T13</f>
        <v>838525434</v>
      </c>
      <c r="N17" s="74">
        <f>Bevételek!U127+Bevételek!U116+Bevételek!U107+Bevételek!U95+Bevételek!U82+Bevételek!U73+Bevételek!U62+Bevételek!U53+Bevételek!U46+Bevételek!U39+Bevételek!U31+Bevételek!U22+Bevételek!U13</f>
        <v>0</v>
      </c>
      <c r="O17" s="74">
        <f>Bevételek!V127+Bevételek!V116+Bevételek!V107+Bevételek!V95+Bevételek!V82+Bevételek!V73+Bevételek!V62+Bevételek!V53+Bevételek!V46+Bevételek!V39+Bevételek!V31+Bevételek!V22+Bevételek!V13</f>
        <v>0</v>
      </c>
      <c r="P17" s="74">
        <f>Bevételek!W127+Bevételek!W116+Bevételek!W107+Bevételek!W95+Bevételek!W82+Bevételek!W73+Bevételek!W62+Bevételek!W53+Bevételek!W46+Bevételek!W39+Bevételek!W31+Bevételek!W22+Bevételek!W13</f>
        <v>0</v>
      </c>
      <c r="Q17" s="74">
        <f>Bevételek!X127+Bevételek!X116+Bevételek!X107+Bevételek!X95+Bevételek!X82+Bevételek!X73+Bevételek!X62+Bevételek!X53+Bevételek!X46+Bevételek!X39+Bevételek!X31+Bevételek!X22+Bevételek!X13</f>
        <v>0</v>
      </c>
      <c r="R17" s="74">
        <f>Bevételek!Y127+Bevételek!Y116+Bevételek!Y107+Bevételek!Y95+Bevételek!Y82+Bevételek!Y73+Bevételek!Y62+Bevételek!Y53+Bevételek!Y46+Bevételek!Y39+Bevételek!Y31+Bevételek!Y22+Bevételek!Y13</f>
        <v>0</v>
      </c>
      <c r="S17" s="74">
        <f>Bevételek!Z127+Bevételek!Z116+Bevételek!Z107+Bevételek!Z95+Bevételek!Z82+Bevételek!Z73+Bevételek!Z62+Bevételek!Z53+Bevételek!Z46+Bevételek!Z39+Bevételek!Z31+Bevételek!Z22+Bevételek!Z13</f>
        <v>0</v>
      </c>
      <c r="T17" s="74">
        <f>Bevételek!AA127+Bevételek!AA116+Bevételek!AA107+Bevételek!AA95+Bevételek!AA82+Bevételek!AA73+Bevételek!AA62+Bevételek!AA53+Bevételek!AA46+Bevételek!AA39+Bevételek!AA31+Bevételek!AA22+Bevételek!AA13</f>
        <v>838525434</v>
      </c>
      <c r="U17" s="74">
        <f>Bevételek!AB127+Bevételek!AB116+Bevételek!AB107+Bevételek!AB95+Bevételek!AB82+Bevételek!AB73+Bevételek!AB62+Bevételek!AB53+Bevételek!AB46+Bevételek!AB39+Bevételek!AB31+Bevételek!AB22+Bevételek!AB13</f>
        <v>0</v>
      </c>
      <c r="V17" s="74">
        <f>Bevételek!AC127+Bevételek!AC116+Bevételek!AC107+Bevételek!AC95+Bevételek!AC82+Bevételek!AC73+Bevételek!AC62+Bevételek!AC53+Bevételek!AC46+Bevételek!AC39+Bevételek!AC31+Bevételek!AC22+Bevételek!AC13</f>
        <v>0</v>
      </c>
      <c r="W17" s="74">
        <f>Bevételek!AD127+Bevételek!AD116+Bevételek!AD107+Bevételek!AD95+Bevételek!AD82+Bevételek!AD73+Bevételek!AD62+Bevételek!AD53+Bevételek!AD46+Bevételek!AD39+Bevételek!AD31+Bevételek!AD22+Bevételek!AD13</f>
        <v>0</v>
      </c>
      <c r="X17" s="74">
        <f>Bevételek!AE127+Bevételek!AE116+Bevételek!AE107+Bevételek!AE95+Bevételek!AE82+Bevételek!AE73+Bevételek!AE62+Bevételek!AE53+Bevételek!AE46+Bevételek!AE39+Bevételek!AE31+Bevételek!AE22+Bevételek!AE13</f>
        <v>0</v>
      </c>
      <c r="Y17" s="74">
        <f>Bevételek!AF127+Bevételek!AF116+Bevételek!AF107+Bevételek!AF95+Bevételek!AF82+Bevételek!AF73+Bevételek!AF62+Bevételek!AF53+Bevételek!AF46+Bevételek!AF39+Bevételek!AF31+Bevételek!AF22+Bevételek!AF13</f>
        <v>0</v>
      </c>
      <c r="Z17" s="74">
        <f>Bevételek!AG127+Bevételek!AG116+Bevételek!AG107+Bevételek!AG95+Bevételek!AG82+Bevételek!AG73+Bevételek!AG62+Bevételek!AG53+Bevételek!AG46+Bevételek!AG39+Bevételek!AG31+Bevételek!AG22+Bevételek!AG13</f>
        <v>0</v>
      </c>
      <c r="AA17" s="74">
        <f>Bevételek!AH127+Bevételek!AH116+Bevételek!AH107+Bevételek!AH95+Bevételek!AH82+Bevételek!AH73+Bevételek!AH62+Bevételek!AH53+Bevételek!AH46+Bevételek!AH39+Bevételek!AH31+Bevételek!AH22+Bevételek!AH13</f>
        <v>838525434</v>
      </c>
      <c r="AB17" s="74">
        <f>Bevételek!AI127+Bevételek!AI116+Bevételek!AI107+Bevételek!AI95+Bevételek!AI82+Bevételek!AI73+Bevételek!AI62+Bevételek!AI53+Bevételek!AI46+Bevételek!AI39+Bevételek!AI31+Bevételek!AI22+Bevételek!AI13</f>
        <v>838525434</v>
      </c>
      <c r="AC17" s="831">
        <f t="shared" si="0"/>
        <v>100</v>
      </c>
      <c r="AD17" s="178"/>
      <c r="AE17" s="75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824"/>
    </row>
    <row r="18" spans="1:58">
      <c r="A18" s="77" t="s">
        <v>20</v>
      </c>
      <c r="B18" s="78"/>
      <c r="C18" s="81">
        <f>SUM(C8:C16)</f>
        <v>1822268154</v>
      </c>
      <c r="D18" s="81">
        <f>SUM(D8:D16)</f>
        <v>293585767</v>
      </c>
      <c r="E18" s="81">
        <f>SUM(E8:E17)</f>
        <v>2115853921</v>
      </c>
      <c r="F18" s="81">
        <f t="shared" ref="F18" si="1">SUM(F8:F17)</f>
        <v>838525434</v>
      </c>
      <c r="G18" s="81">
        <f t="shared" ref="G18" si="2">SUM(G8:G17)</f>
        <v>0</v>
      </c>
      <c r="H18" s="81">
        <f t="shared" ref="H18" si="3">SUM(H8:H17)</f>
        <v>0</v>
      </c>
      <c r="I18" s="81">
        <f t="shared" ref="I18" si="4">SUM(I8:I17)</f>
        <v>0</v>
      </c>
      <c r="J18" s="81">
        <f t="shared" ref="J18" si="5">SUM(J8:J17)</f>
        <v>0</v>
      </c>
      <c r="K18" s="81">
        <f t="shared" ref="K18" si="6">SUM(K8:K17)</f>
        <v>240651215</v>
      </c>
      <c r="L18" s="81">
        <f t="shared" ref="L18:M18" si="7">SUM(L8:L17)</f>
        <v>1079176649</v>
      </c>
      <c r="M18" s="81">
        <f t="shared" si="7"/>
        <v>3195030570</v>
      </c>
      <c r="N18" s="81">
        <f t="shared" ref="N18:T18" si="8">SUM(N8:N17)</f>
        <v>0</v>
      </c>
      <c r="O18" s="81">
        <f t="shared" si="8"/>
        <v>7764832</v>
      </c>
      <c r="P18" s="81">
        <f t="shared" si="8"/>
        <v>0</v>
      </c>
      <c r="Q18" s="81">
        <f t="shared" si="8"/>
        <v>0</v>
      </c>
      <c r="R18" s="81">
        <f t="shared" si="8"/>
        <v>216095062</v>
      </c>
      <c r="S18" s="81">
        <f t="shared" si="8"/>
        <v>223859894</v>
      </c>
      <c r="T18" s="81">
        <f t="shared" si="8"/>
        <v>3418890464</v>
      </c>
      <c r="U18" s="81">
        <f t="shared" ref="U18:AB18" si="9">SUM(U8:U17)</f>
        <v>0</v>
      </c>
      <c r="V18" s="81">
        <f t="shared" si="9"/>
        <v>165074973</v>
      </c>
      <c r="W18" s="81">
        <f t="shared" si="9"/>
        <v>0</v>
      </c>
      <c r="X18" s="81">
        <f t="shared" si="9"/>
        <v>0</v>
      </c>
      <c r="Y18" s="81">
        <f t="shared" si="9"/>
        <v>76674623</v>
      </c>
      <c r="Z18" s="81">
        <f t="shared" si="9"/>
        <v>241749596</v>
      </c>
      <c r="AA18" s="81">
        <f t="shared" si="9"/>
        <v>3660640060</v>
      </c>
      <c r="AB18" s="81">
        <f t="shared" si="9"/>
        <v>3652431277</v>
      </c>
      <c r="AC18" s="844">
        <f t="shared" si="0"/>
        <v>99.775755527299779</v>
      </c>
      <c r="AD18" s="180" t="s">
        <v>21</v>
      </c>
      <c r="AE18" s="80"/>
      <c r="AF18" s="81">
        <f>SUM(AF8:AF12)</f>
        <v>7443833350</v>
      </c>
      <c r="AG18" s="81">
        <f>SUM(AG8:AG12)</f>
        <v>566468440</v>
      </c>
      <c r="AH18" s="81">
        <f>SUM(AH8:AH12)</f>
        <v>8010301790</v>
      </c>
      <c r="AI18" s="81">
        <f t="shared" ref="AI18:AP18" si="10">SUM(AI8:AI12)</f>
        <v>838525434</v>
      </c>
      <c r="AJ18" s="81">
        <f t="shared" si="10"/>
        <v>1235489</v>
      </c>
      <c r="AK18" s="81">
        <f t="shared" si="10"/>
        <v>3000000</v>
      </c>
      <c r="AL18" s="81">
        <f t="shared" si="10"/>
        <v>0</v>
      </c>
      <c r="AM18" s="81">
        <f t="shared" si="10"/>
        <v>129963413</v>
      </c>
      <c r="AN18" s="81">
        <f t="shared" si="10"/>
        <v>240651215</v>
      </c>
      <c r="AO18" s="81">
        <f t="shared" si="10"/>
        <v>1213375551</v>
      </c>
      <c r="AP18" s="81">
        <f t="shared" si="10"/>
        <v>9223677341</v>
      </c>
      <c r="AQ18" s="81">
        <f t="shared" ref="AQ18" si="11">SUM(AQ8:AQ12)</f>
        <v>18243682</v>
      </c>
      <c r="AR18" s="81">
        <f t="shared" ref="AR18:AW18" si="12">SUM(AR8:AR12)</f>
        <v>35216663</v>
      </c>
      <c r="AS18" s="81">
        <f t="shared" si="12"/>
        <v>0</v>
      </c>
      <c r="AT18" s="81">
        <f t="shared" si="12"/>
        <v>65081735</v>
      </c>
      <c r="AU18" s="81">
        <f t="shared" si="12"/>
        <v>216095062</v>
      </c>
      <c r="AV18" s="81">
        <f t="shared" si="12"/>
        <v>334637142</v>
      </c>
      <c r="AW18" s="81">
        <f t="shared" si="12"/>
        <v>9558314483</v>
      </c>
      <c r="AX18" s="81">
        <f t="shared" ref="AX18:BE18" si="13">SUM(AX8:AX12)</f>
        <v>3000000</v>
      </c>
      <c r="AY18" s="81">
        <f t="shared" si="13"/>
        <v>188066666</v>
      </c>
      <c r="AZ18" s="81">
        <f t="shared" si="13"/>
        <v>0</v>
      </c>
      <c r="BA18" s="81">
        <f t="shared" si="13"/>
        <v>60975978</v>
      </c>
      <c r="BB18" s="81">
        <f t="shared" si="13"/>
        <v>76674623</v>
      </c>
      <c r="BC18" s="81">
        <f t="shared" si="13"/>
        <v>328717267</v>
      </c>
      <c r="BD18" s="81">
        <f t="shared" si="13"/>
        <v>9887031750</v>
      </c>
      <c r="BE18" s="81">
        <f t="shared" si="13"/>
        <v>8760861079</v>
      </c>
      <c r="BF18" s="848">
        <f>BE18/BD18*100</f>
        <v>88.609618139438055</v>
      </c>
    </row>
    <row r="19" spans="1:58">
      <c r="A19" s="82"/>
      <c r="B19" s="83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833"/>
      <c r="AD19" s="180"/>
      <c r="AE19" s="80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49"/>
    </row>
    <row r="20" spans="1:58">
      <c r="A20" s="82" t="s">
        <v>373</v>
      </c>
      <c r="B20" s="83">
        <v>3</v>
      </c>
      <c r="C20" s="151">
        <f>Bevételek!J155+Bevételek!J149+Bevételek!J165</f>
        <v>991354026</v>
      </c>
      <c r="D20" s="151">
        <f>Bevételek!K155+Bevételek!K149+Bevételek!K165</f>
        <v>0</v>
      </c>
      <c r="E20" s="151">
        <f>Bevételek!L155+Bevételek!L149+Bevételek!L165</f>
        <v>991354026</v>
      </c>
      <c r="F20" s="151">
        <f>Bevételek!M155+Bevételek!M149+Bevételek!M165</f>
        <v>0</v>
      </c>
      <c r="G20" s="151">
        <f>Bevételek!N155+Bevételek!N149+Bevételek!N165</f>
        <v>0</v>
      </c>
      <c r="H20" s="151">
        <f>Bevételek!O155+Bevételek!O149+Bevételek!O165</f>
        <v>0</v>
      </c>
      <c r="I20" s="151">
        <f>Bevételek!P155+Bevételek!P149+Bevételek!P165</f>
        <v>0</v>
      </c>
      <c r="J20" s="151">
        <f>Bevételek!Q155+Bevételek!Q149+Bevételek!Q165</f>
        <v>0</v>
      </c>
      <c r="K20" s="151">
        <f>Bevételek!R155+Bevételek!R149+Bevételek!R165</f>
        <v>0</v>
      </c>
      <c r="L20" s="151">
        <f>Bevételek!S155+Bevételek!S149+Bevételek!S165</f>
        <v>0</v>
      </c>
      <c r="M20" s="151">
        <f>Bevételek!T155+Bevételek!T149+Bevételek!T165</f>
        <v>991354026</v>
      </c>
      <c r="N20" s="151">
        <f>Bevételek!U155+Bevételek!U149+Bevételek!U165</f>
        <v>0</v>
      </c>
      <c r="O20" s="151">
        <f>Bevételek!V155+Bevételek!V149+Bevételek!V165</f>
        <v>0</v>
      </c>
      <c r="P20" s="151">
        <f>Bevételek!W155+Bevételek!W149+Bevételek!W165</f>
        <v>0</v>
      </c>
      <c r="Q20" s="151">
        <f>Bevételek!X155+Bevételek!X149+Bevételek!X165</f>
        <v>0</v>
      </c>
      <c r="R20" s="151">
        <f>Bevételek!Y155+Bevételek!Y149+Bevételek!Y165</f>
        <v>0</v>
      </c>
      <c r="S20" s="151">
        <f>Bevételek!Z155+Bevételek!Z149+Bevételek!Z165</f>
        <v>0</v>
      </c>
      <c r="T20" s="151">
        <f>Bevételek!AA155+Bevételek!AA149+Bevételek!AA165</f>
        <v>991354026</v>
      </c>
      <c r="U20" s="151">
        <f>Bevételek!AB155+Bevételek!AB149+Bevételek!AB165</f>
        <v>0</v>
      </c>
      <c r="V20" s="151">
        <f>Bevételek!AC155+Bevételek!AC149+Bevételek!AC165</f>
        <v>0</v>
      </c>
      <c r="W20" s="151">
        <f>Bevételek!AD155+Bevételek!AD149+Bevételek!AD165</f>
        <v>0</v>
      </c>
      <c r="X20" s="151">
        <f>Bevételek!AE155+Bevételek!AE149+Bevételek!AE165</f>
        <v>0</v>
      </c>
      <c r="Y20" s="151">
        <f>Bevételek!AF155+Bevételek!AF149+Bevételek!AF165</f>
        <v>0</v>
      </c>
      <c r="Z20" s="151">
        <f>Bevételek!AG155+Bevételek!AG149+Bevételek!AG165</f>
        <v>0</v>
      </c>
      <c r="AA20" s="151">
        <f>Bevételek!AH155+Bevételek!AH149+Bevételek!AH165</f>
        <v>991354026</v>
      </c>
      <c r="AB20" s="151">
        <f>Bevételek!AI155+Bevételek!AI149+Bevételek!AI165</f>
        <v>1007510719</v>
      </c>
      <c r="AC20" s="845">
        <f t="shared" si="0"/>
        <v>101.62976016400422</v>
      </c>
      <c r="AD20" s="181" t="s">
        <v>191</v>
      </c>
      <c r="AE20" s="85" t="s">
        <v>314</v>
      </c>
      <c r="AF20" s="61">
        <f>Kiadások!J1238</f>
        <v>2104847383.5</v>
      </c>
      <c r="AG20" s="61"/>
      <c r="AH20" s="61">
        <f>Kiadások!L1238</f>
        <v>1916402292</v>
      </c>
      <c r="AI20" s="61">
        <f>Kiadások!M1238</f>
        <v>285453133</v>
      </c>
      <c r="AJ20" s="61">
        <f>Kiadások!N1238</f>
        <v>0</v>
      </c>
      <c r="AK20" s="61">
        <f>Kiadások!O1238</f>
        <v>6565136</v>
      </c>
      <c r="AL20" s="61">
        <f>Kiadások!P1238</f>
        <v>14131325</v>
      </c>
      <c r="AM20" s="61">
        <f>Kiadások!Q1238</f>
        <v>78599754</v>
      </c>
      <c r="AN20" s="61">
        <f>Kiadások!R1238</f>
        <v>0</v>
      </c>
      <c r="AO20" s="61">
        <f>Kiadások!S1238</f>
        <v>384749348</v>
      </c>
      <c r="AP20" s="61">
        <f>Kiadások!T1238</f>
        <v>2301151640</v>
      </c>
      <c r="AQ20" s="61">
        <f>Kiadások!U1238</f>
        <v>0</v>
      </c>
      <c r="AR20" s="61">
        <f>Kiadások!V1238</f>
        <v>-11411200</v>
      </c>
      <c r="AS20" s="61">
        <f>Kiadások!W1238</f>
        <v>40275526</v>
      </c>
      <c r="AT20" s="61">
        <f>Kiadások!X1238</f>
        <v>155420329</v>
      </c>
      <c r="AU20" s="61">
        <f>Kiadások!Y1238</f>
        <v>0</v>
      </c>
      <c r="AV20" s="61">
        <f>Kiadások!Z1238</f>
        <v>184284655</v>
      </c>
      <c r="AW20" s="61">
        <f>Kiadások!AA1238</f>
        <v>2482976295</v>
      </c>
      <c r="AX20" s="61">
        <f>Kiadások!AB1238</f>
        <v>26502000</v>
      </c>
      <c r="AY20" s="61">
        <f>Kiadások!AC1238</f>
        <v>7378817</v>
      </c>
      <c r="AZ20" s="61">
        <f>Kiadások!AD1238</f>
        <v>5019527</v>
      </c>
      <c r="BA20" s="61">
        <f>Kiadások!AE1238</f>
        <v>131697470</v>
      </c>
      <c r="BB20" s="61">
        <f>Kiadások!AF1238</f>
        <v>0</v>
      </c>
      <c r="BC20" s="61">
        <f>Kiadások!AG1238</f>
        <v>170597814</v>
      </c>
      <c r="BD20" s="61">
        <f>Kiadások!AH1238</f>
        <v>2653574109</v>
      </c>
      <c r="BE20" s="61">
        <f>Kiadások!AI1238</f>
        <v>2334812022</v>
      </c>
      <c r="BF20" s="850">
        <f t="shared" ref="BF20:BF31" si="14">BE20/BD20*100</f>
        <v>87.987443579628319</v>
      </c>
    </row>
    <row r="21" spans="1:58">
      <c r="A21" s="82" t="s">
        <v>311</v>
      </c>
      <c r="B21" s="83">
        <v>3</v>
      </c>
      <c r="C21" s="151">
        <f>Bevételek!J176+Bevételek!J174+Bevételek!J187</f>
        <v>32610000</v>
      </c>
      <c r="D21" s="151">
        <f>Bevételek!K176+Bevételek!K174+Bevételek!K187</f>
        <v>0</v>
      </c>
      <c r="E21" s="151">
        <f>Bevételek!L176+Bevételek!L174+Bevételek!L187</f>
        <v>32610000</v>
      </c>
      <c r="F21" s="151">
        <f>Bevételek!M176+Bevételek!M174+Bevételek!M187</f>
        <v>0</v>
      </c>
      <c r="G21" s="151">
        <f>Bevételek!N176+Bevételek!N174+Bevételek!N187</f>
        <v>0</v>
      </c>
      <c r="H21" s="151">
        <f>Bevételek!O176+Bevételek!O174+Bevételek!O187</f>
        <v>0</v>
      </c>
      <c r="I21" s="151">
        <f>Bevételek!P176+Bevételek!P174+Bevételek!P187</f>
        <v>0</v>
      </c>
      <c r="J21" s="151">
        <f>Bevételek!Q176+Bevételek!Q174+Bevételek!Q187</f>
        <v>0</v>
      </c>
      <c r="K21" s="151">
        <f>Bevételek!R176+Bevételek!R174+Bevételek!R187</f>
        <v>0</v>
      </c>
      <c r="L21" s="151">
        <f>Bevételek!S176+Bevételek!S174+Bevételek!S187</f>
        <v>0</v>
      </c>
      <c r="M21" s="151">
        <f>Bevételek!T176+Bevételek!T174+Bevételek!T187</f>
        <v>32610000</v>
      </c>
      <c r="N21" s="151">
        <f>Bevételek!U176+Bevételek!U174+Bevételek!U187</f>
        <v>0</v>
      </c>
      <c r="O21" s="151">
        <f>Bevételek!V176+Bevételek!V174+Bevételek!V187</f>
        <v>0</v>
      </c>
      <c r="P21" s="151">
        <f>Bevételek!W176+Bevételek!W174+Bevételek!W187</f>
        <v>0</v>
      </c>
      <c r="Q21" s="151">
        <f>Bevételek!X176+Bevételek!X174+Bevételek!X187</f>
        <v>0</v>
      </c>
      <c r="R21" s="151">
        <f>Bevételek!Y176+Bevételek!Y174+Bevételek!Y187</f>
        <v>0</v>
      </c>
      <c r="S21" s="151">
        <f>Bevételek!Z176+Bevételek!Z174+Bevételek!Z187</f>
        <v>0</v>
      </c>
      <c r="T21" s="151">
        <f>Bevételek!AA176+Bevételek!AA174+Bevételek!AA187+Bevételek!AA177+Bevételek!AA178</f>
        <v>32610000</v>
      </c>
      <c r="U21" s="151">
        <f>Bevételek!AB176+Bevételek!AB174+Bevételek!AB187+Bevételek!AB177+Bevételek!AB178</f>
        <v>0</v>
      </c>
      <c r="V21" s="151">
        <f>Bevételek!AC176+Bevételek!AC174+Bevételek!AC187+Bevételek!AC177+Bevételek!AC178</f>
        <v>1178817</v>
      </c>
      <c r="W21" s="151">
        <f>Bevételek!AD176+Bevételek!AD174+Bevételek!AD187+Bevételek!AD177+Bevételek!AD178</f>
        <v>0</v>
      </c>
      <c r="X21" s="151">
        <f>Bevételek!AE176+Bevételek!AE174+Bevételek!AE187+Bevételek!AE177+Bevételek!AE178</f>
        <v>0</v>
      </c>
      <c r="Y21" s="151">
        <f>Bevételek!AF176+Bevételek!AF174+Bevételek!AF187+Bevételek!AF177+Bevételek!AF178</f>
        <v>0</v>
      </c>
      <c r="Z21" s="151">
        <f>Bevételek!AG176+Bevételek!AG174+Bevételek!AG187+Bevételek!AG177+Bevételek!AG178</f>
        <v>1178817</v>
      </c>
      <c r="AA21" s="151">
        <f>Bevételek!AH176+Bevételek!AH174+Bevételek!AH187+Bevételek!AH177+Bevételek!AH178</f>
        <v>33788817</v>
      </c>
      <c r="AB21" s="151">
        <f>Bevételek!AI176+Bevételek!AI174+Bevételek!AI187+Bevételek!AI177+Bevételek!AI178</f>
        <v>37997521</v>
      </c>
      <c r="AC21" s="845">
        <f t="shared" si="0"/>
        <v>112.45590811894954</v>
      </c>
      <c r="AD21" s="181" t="s">
        <v>2</v>
      </c>
      <c r="AE21" s="85" t="s">
        <v>315</v>
      </c>
      <c r="AF21" s="61">
        <f>Kiadások!J1403</f>
        <v>442382952</v>
      </c>
      <c r="AG21" s="61">
        <f>Kiadások!K1403</f>
        <v>135749000</v>
      </c>
      <c r="AH21" s="61">
        <f>Kiadások!L1403</f>
        <v>578131952</v>
      </c>
      <c r="AI21" s="61">
        <f>Kiadások!M1403</f>
        <v>154855029</v>
      </c>
      <c r="AJ21" s="61">
        <f>Kiadások!N1403</f>
        <v>0</v>
      </c>
      <c r="AK21" s="61">
        <f>Kiadások!O1403</f>
        <v>149930314</v>
      </c>
      <c r="AL21" s="61">
        <f>Kiadások!P1403</f>
        <v>30000</v>
      </c>
      <c r="AM21" s="61">
        <f>Kiadások!Q1403</f>
        <v>-810000</v>
      </c>
      <c r="AN21" s="61">
        <f>Kiadások!R1403</f>
        <v>0</v>
      </c>
      <c r="AO21" s="61">
        <f>Kiadások!S1403</f>
        <v>304005343</v>
      </c>
      <c r="AP21" s="61">
        <f>Kiadások!T1403</f>
        <v>882137295</v>
      </c>
      <c r="AQ21" s="61">
        <f>Kiadások!U1403</f>
        <v>0</v>
      </c>
      <c r="AR21" s="61">
        <f>Kiadások!V1403</f>
        <v>16411200</v>
      </c>
      <c r="AS21" s="61">
        <f>Kiadások!W1403</f>
        <v>38960</v>
      </c>
      <c r="AT21" s="61">
        <f>Kiadások!X1403</f>
        <v>-21524871</v>
      </c>
      <c r="AU21" s="61">
        <f>Kiadások!Y1403</f>
        <v>0</v>
      </c>
      <c r="AV21" s="61">
        <f>Kiadások!Z1403</f>
        <v>-5074711</v>
      </c>
      <c r="AW21" s="61">
        <f>Kiadások!AA1403</f>
        <v>877062584</v>
      </c>
      <c r="AX21" s="61">
        <f>Kiadások!AB1403</f>
        <v>0</v>
      </c>
      <c r="AY21" s="61">
        <f>Kiadások!AC1403</f>
        <v>17178380</v>
      </c>
      <c r="AZ21" s="61">
        <f>Kiadások!AD1403</f>
        <v>0</v>
      </c>
      <c r="BA21" s="61">
        <f>Kiadások!AE1403</f>
        <v>532400</v>
      </c>
      <c r="BB21" s="61">
        <f>Kiadások!AF1403</f>
        <v>0</v>
      </c>
      <c r="BC21" s="61">
        <f>Kiadások!AG1403</f>
        <v>17710780</v>
      </c>
      <c r="BD21" s="61">
        <f>Kiadások!AH1403</f>
        <v>894773364</v>
      </c>
      <c r="BE21" s="61">
        <f>Kiadások!AI1403</f>
        <v>665972170</v>
      </c>
      <c r="BF21" s="850">
        <f t="shared" si="14"/>
        <v>74.429145613234866</v>
      </c>
    </row>
    <row r="22" spans="1:58">
      <c r="A22" s="72" t="s">
        <v>0</v>
      </c>
      <c r="B22" s="83">
        <v>3</v>
      </c>
      <c r="C22" s="76">
        <f>SUM(C20:C21)</f>
        <v>1023964026</v>
      </c>
      <c r="D22" s="76">
        <f>SUM(D20:D21)</f>
        <v>0</v>
      </c>
      <c r="E22" s="76">
        <f>SUM(E20:E21)</f>
        <v>1023964026</v>
      </c>
      <c r="F22" s="76">
        <f t="shared" ref="F22:L22" si="15">SUM(F20:F21)</f>
        <v>0</v>
      </c>
      <c r="G22" s="76">
        <f t="shared" si="15"/>
        <v>0</v>
      </c>
      <c r="H22" s="76">
        <f t="shared" si="15"/>
        <v>0</v>
      </c>
      <c r="I22" s="76">
        <f t="shared" si="15"/>
        <v>0</v>
      </c>
      <c r="J22" s="76">
        <f t="shared" si="15"/>
        <v>0</v>
      </c>
      <c r="K22" s="76">
        <f t="shared" si="15"/>
        <v>0</v>
      </c>
      <c r="L22" s="76">
        <f t="shared" si="15"/>
        <v>0</v>
      </c>
      <c r="M22" s="76">
        <f t="shared" ref="M22:S22" si="16">SUM(M20:M21)</f>
        <v>1023964026</v>
      </c>
      <c r="N22" s="76">
        <f t="shared" si="16"/>
        <v>0</v>
      </c>
      <c r="O22" s="76">
        <f t="shared" si="16"/>
        <v>0</v>
      </c>
      <c r="P22" s="76">
        <f t="shared" si="16"/>
        <v>0</v>
      </c>
      <c r="Q22" s="76">
        <f t="shared" si="16"/>
        <v>0</v>
      </c>
      <c r="R22" s="76">
        <f t="shared" si="16"/>
        <v>0</v>
      </c>
      <c r="S22" s="76">
        <f t="shared" si="16"/>
        <v>0</v>
      </c>
      <c r="T22" s="76">
        <f t="shared" ref="T22:AB22" si="17">SUM(T20:T21)</f>
        <v>1023964026</v>
      </c>
      <c r="U22" s="76">
        <f t="shared" si="17"/>
        <v>0</v>
      </c>
      <c r="V22" s="76">
        <f t="shared" si="17"/>
        <v>1178817</v>
      </c>
      <c r="W22" s="76">
        <f t="shared" si="17"/>
        <v>0</v>
      </c>
      <c r="X22" s="76">
        <f t="shared" si="17"/>
        <v>0</v>
      </c>
      <c r="Y22" s="76">
        <f t="shared" si="17"/>
        <v>0</v>
      </c>
      <c r="Z22" s="76">
        <f t="shared" si="17"/>
        <v>1178817</v>
      </c>
      <c r="AA22" s="76">
        <f t="shared" si="17"/>
        <v>1025142843</v>
      </c>
      <c r="AB22" s="76">
        <f t="shared" si="17"/>
        <v>1045508240</v>
      </c>
      <c r="AC22" s="831">
        <f t="shared" si="0"/>
        <v>101.98659115059539</v>
      </c>
      <c r="AD22" s="179"/>
      <c r="AE22" s="58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850"/>
    </row>
    <row r="23" spans="1:58">
      <c r="A23" s="72"/>
      <c r="B23" s="73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834"/>
      <c r="AD23" s="181" t="s">
        <v>3</v>
      </c>
      <c r="AE23" s="85" t="s">
        <v>316</v>
      </c>
      <c r="AF23" s="61">
        <f>Kiadások!J1546</f>
        <v>74469097</v>
      </c>
      <c r="AG23" s="61">
        <f>Kiadások!K1546</f>
        <v>1188430247</v>
      </c>
      <c r="AH23" s="61">
        <f>Kiadások!L1546</f>
        <v>1270958864</v>
      </c>
      <c r="AI23" s="61">
        <f>Kiadások!M1546</f>
        <v>22468057</v>
      </c>
      <c r="AJ23" s="61">
        <f>Kiadások!N1546</f>
        <v>0</v>
      </c>
      <c r="AK23" s="61">
        <f>Kiadások!O1546</f>
        <v>28400000</v>
      </c>
      <c r="AL23" s="61">
        <f>Kiadások!P1546</f>
        <v>0</v>
      </c>
      <c r="AM23" s="61">
        <f>Kiadások!Q1546</f>
        <v>-22547767</v>
      </c>
      <c r="AN23" s="61">
        <f>Kiadások!R1546</f>
        <v>0</v>
      </c>
      <c r="AO23" s="61">
        <f>Kiadások!S1546</f>
        <v>28320290</v>
      </c>
      <c r="AP23" s="61">
        <f>Kiadások!T1546</f>
        <v>1299279154</v>
      </c>
      <c r="AQ23" s="61">
        <f>Kiadások!U1546</f>
        <v>0</v>
      </c>
      <c r="AR23" s="61">
        <f>Kiadások!V1546</f>
        <v>3863012</v>
      </c>
      <c r="AS23" s="61">
        <f>Kiadások!W1546</f>
        <v>0</v>
      </c>
      <c r="AT23" s="61">
        <f>Kiadások!X1546</f>
        <v>-22966946</v>
      </c>
      <c r="AU23" s="61">
        <f>Kiadások!Y1546</f>
        <v>0</v>
      </c>
      <c r="AV23" s="61">
        <f>Kiadások!Z1546</f>
        <v>-19103934</v>
      </c>
      <c r="AW23" s="61">
        <f>Kiadások!AA1546</f>
        <v>1280175220</v>
      </c>
      <c r="AX23" s="61">
        <f>Kiadások!AB1546</f>
        <v>0</v>
      </c>
      <c r="AY23" s="61">
        <f>Kiadások!AC1546</f>
        <v>0</v>
      </c>
      <c r="AZ23" s="61">
        <f>Kiadások!AD1546</f>
        <v>-16354059</v>
      </c>
      <c r="BA23" s="61">
        <f>Kiadások!AE1546</f>
        <v>-19232455</v>
      </c>
      <c r="BB23" s="61">
        <f>Kiadások!AF1546</f>
        <v>0</v>
      </c>
      <c r="BC23" s="61">
        <f>Kiadások!AG1546</f>
        <v>-35586514</v>
      </c>
      <c r="BD23" s="61">
        <f>Kiadások!AH1546</f>
        <v>1244588706</v>
      </c>
      <c r="BE23" s="61">
        <f>Kiadások!AI1546</f>
        <v>579011620</v>
      </c>
      <c r="BF23" s="850">
        <f t="shared" si="14"/>
        <v>46.522326388521797</v>
      </c>
    </row>
    <row r="24" spans="1:58">
      <c r="A24" s="72" t="s">
        <v>312</v>
      </c>
      <c r="B24" s="73">
        <v>4</v>
      </c>
      <c r="C24" s="76">
        <f>Bevételek!J201+Bevételek!J203+Bevételek!J217+Bevételek!J218+Bevételek!J219+Bevételek!J220+Bevételek!J222+Bevételek!J226+Bevételek!J230+Bevételek!J242+Bevételek!J249</f>
        <v>1149169883</v>
      </c>
      <c r="D24" s="76">
        <f>Bevételek!K201+Bevételek!K203+Bevételek!K217+Bevételek!K218+Bevételek!K219+Bevételek!K220+Bevételek!K222+Bevételek!K226+Bevételek!K230+Bevételek!K242+Bevételek!K249</f>
        <v>0</v>
      </c>
      <c r="E24" s="76">
        <f>Bevételek!L201+Bevételek!L203+Bevételek!L217+Bevételek!L218+Bevételek!L219+Bevételek!L220+Bevételek!L222+Bevételek!L226+Bevételek!L230+Bevételek!L242+Bevételek!L249</f>
        <v>1149169883</v>
      </c>
      <c r="F24" s="76">
        <f>Bevételek!M201+Bevételek!M203+Bevételek!M217+Bevételek!M218+Bevételek!M219+Bevételek!M220+Bevételek!M222+Bevételek!M226+Bevételek!M230+Bevételek!M242+Bevételek!M249</f>
        <v>0</v>
      </c>
      <c r="G24" s="76">
        <f>Bevételek!N201+Bevételek!N203+Bevételek!N217+Bevételek!N218+Bevételek!N219+Bevételek!N220+Bevételek!N222+Bevételek!N226+Bevételek!N230+Bevételek!N242+Bevételek!N249</f>
        <v>0</v>
      </c>
      <c r="H24" s="76">
        <f>Bevételek!O201+Bevételek!O203+Bevételek!O211+Bevételek!O217+Bevételek!O218+Bevételek!O220+Bevételek!O219+Bevételek!O222+Bevételek!O226+Bevételek!O230+Bevételek!O242+Bevételek!O249+Bevételek!O253+Bevételek!O255+Bevételek!O257</f>
        <v>149930314</v>
      </c>
      <c r="I24" s="76">
        <f>Bevételek!P201+Bevételek!P203+Bevételek!P211+Bevételek!P217+Bevételek!P218+Bevételek!P220+Bevételek!P219+Bevételek!P222+Bevételek!P226+Bevételek!P230+Bevételek!P242+Bevételek!P249+Bevételek!P253+Bevételek!P255+Bevételek!P257</f>
        <v>0</v>
      </c>
      <c r="J24" s="76">
        <f>Bevételek!Q201+Bevételek!Q203+Bevételek!Q211+Bevételek!Q217+Bevételek!Q218+Bevételek!Q220+Bevételek!Q219+Bevételek!Q222+Bevételek!Q226+Bevételek!Q230+Bevételek!Q242+Bevételek!Q249+Bevételek!Q253+Bevételek!Q255+Bevételek!Q257</f>
        <v>0</v>
      </c>
      <c r="K24" s="76">
        <f>Bevételek!R201+Bevételek!R203+Bevételek!R211+Bevételek!R217+Bevételek!R218+Bevételek!R220+Bevételek!R219+Bevételek!R222+Bevételek!R226+Bevételek!R230+Bevételek!R242+Bevételek!R249+Bevételek!R253+Bevételek!R255+Bevételek!R257</f>
        <v>0</v>
      </c>
      <c r="L24" s="76">
        <f>Bevételek!S201+Bevételek!S203+Bevételek!S211+Bevételek!S217+Bevételek!S218+Bevételek!S220+Bevételek!S219+Bevételek!S222+Bevételek!S226+Bevételek!S230+Bevételek!S242+Bevételek!S249+Bevételek!S253+Bevételek!S255+Bevételek!S257</f>
        <v>149930314</v>
      </c>
      <c r="M24" s="76">
        <f>Bevételek!T201+Bevételek!T203+Bevételek!T211+Bevételek!T217+Bevételek!T218+Bevételek!T220+Bevételek!T219+Bevételek!T222+Bevételek!T226+Bevételek!T230+Bevételek!T242+Bevételek!T249+Bevételek!T253+Bevételek!T255+Bevételek!T257</f>
        <v>1299100197</v>
      </c>
      <c r="N24" s="76">
        <f>Bevételek!U201+Bevételek!U203+Bevételek!U217+Bevételek!U218+Bevételek!U219+Bevételek!U220+Bevételek!U222+Bevételek!U226+Bevételek!U230+Bevételek!U242+Bevételek!U249</f>
        <v>0</v>
      </c>
      <c r="O24" s="76">
        <f>Bevételek!V201+Bevételek!V203+Bevételek!V211+Bevételek!V217+Bevételek!V218+Bevételek!V220+Bevételek!V219+Bevételek!V222+Bevételek!V226+Bevételek!V230+Bevételek!V242+Bevételek!V249+Bevételek!V253+Bevételek!V255+Bevételek!V257</f>
        <v>0</v>
      </c>
      <c r="P24" s="76">
        <f>Bevételek!W201+Bevételek!W203+Bevételek!W211+Bevételek!W217+Bevételek!W218+Bevételek!W220+Bevételek!W219+Bevételek!W222+Bevételek!W226+Bevételek!W230+Bevételek!W242+Bevételek!W249+Bevételek!W253+Bevételek!W255+Bevételek!W257</f>
        <v>0</v>
      </c>
      <c r="Q24" s="76">
        <f>Bevételek!X201+Bevételek!X203+Bevételek!X211+Bevételek!X217+Bevételek!X218+Bevételek!X220+Bevételek!X219+Bevételek!X222+Bevételek!X226+Bevételek!X230+Bevételek!X242+Bevételek!X249+Bevételek!X253+Bevételek!X255+Bevételek!X257</f>
        <v>0</v>
      </c>
      <c r="R24" s="76">
        <f>Bevételek!Y201+Bevételek!Y203+Bevételek!Y211+Bevételek!Y217+Bevételek!Y218+Bevételek!Y220+Bevételek!Y219+Bevételek!Y222+Bevételek!Y226+Bevételek!Y230+Bevételek!Y242+Bevételek!Y249+Bevételek!Y253+Bevételek!Y255+Bevételek!Y257</f>
        <v>0</v>
      </c>
      <c r="S24" s="76">
        <f>Bevételek!Z201+Bevételek!Z203+Bevételek!Z211+Bevételek!Z217+Bevételek!Z218+Bevételek!Z220+Bevételek!Z219+Bevételek!Z222+Bevételek!Z226+Bevételek!Z230+Bevételek!Z242+Bevételek!Z249+Bevételek!Z253+Bevételek!Z255+Bevételek!Z257</f>
        <v>0</v>
      </c>
      <c r="T24" s="76">
        <f>Bevételek!AA201+Bevételek!AA203+Bevételek!AA211+Bevételek!AA217+Bevételek!AA218+Bevételek!AA220+Bevételek!AA219+Bevételek!AA222+Bevételek!AA226+Bevételek!AA230+Bevételek!AA242+Bevételek!AA249+Bevételek!AA253+Bevételek!AA255+Bevételek!AA257</f>
        <v>1299100197</v>
      </c>
      <c r="U24" s="76">
        <f>Bevételek!AB201+Bevételek!AB203+Bevételek!AB211+Bevételek!AB217+Bevételek!AB218+Bevételek!AB220+Bevételek!AB219+Bevételek!AB222+Bevételek!AB226+Bevételek!AB230+Bevételek!AB242+Bevételek!AB249+Bevételek!AB253+Bevételek!AB255+Bevételek!AB257</f>
        <v>0</v>
      </c>
      <c r="V24" s="76">
        <f>Bevételek!AC201+Bevételek!AC203+Bevételek!AC211+Bevételek!AC217+Bevételek!AC218+Bevételek!AC220+Bevételek!AC219+Bevételek!AC222+Bevételek!AC226+Bevételek!AC230+Bevételek!AC242+Bevételek!AC249+Bevételek!AC253+Bevételek!AC255+Bevételek!AC257</f>
        <v>-44350740</v>
      </c>
      <c r="W24" s="76">
        <f>Bevételek!AD201+Bevételek!AD203+Bevételek!AD211+Bevételek!AD217+Bevételek!AD218+Bevételek!AD220+Bevételek!AD219+Bevételek!AD222+Bevételek!AD226+Bevételek!AD230+Bevételek!AD242+Bevételek!AD249+Bevételek!AD253+Bevételek!AD255+Bevételek!AD257</f>
        <v>0</v>
      </c>
      <c r="X24" s="76">
        <f>Bevételek!AE201+Bevételek!AE203+Bevételek!AE211+Bevételek!AE217+Bevételek!AE218+Bevételek!AE220+Bevételek!AE219+Bevételek!AE222+Bevételek!AE226+Bevételek!AE230+Bevételek!AE242+Bevételek!AE249+Bevételek!AE253+Bevételek!AE255+Bevételek!AE257</f>
        <v>2749177</v>
      </c>
      <c r="Y24" s="76">
        <f>Bevételek!AF201+Bevételek!AF203+Bevételek!AF211+Bevételek!AF217+Bevételek!AF218+Bevételek!AF220+Bevételek!AF219+Bevételek!AF222+Bevételek!AF226+Bevételek!AF230+Bevételek!AF242+Bevételek!AF249+Bevételek!AF253+Bevételek!AF255+Bevételek!AF257</f>
        <v>0</v>
      </c>
      <c r="Z24" s="76">
        <f>Bevételek!AG201+Bevételek!AG203+Bevételek!AG211+Bevételek!AG217+Bevételek!AG218+Bevételek!AG220+Bevételek!AG219+Bevételek!AG222+Bevételek!AG226+Bevételek!AG230+Bevételek!AG242+Bevételek!AG249+Bevételek!AG253+Bevételek!AG255+Bevételek!AG257</f>
        <v>-41601563</v>
      </c>
      <c r="AA24" s="76">
        <f>Bevételek!AH201+Bevételek!AH203+Bevételek!AH211+Bevételek!AH217+Bevételek!AH218+Bevételek!AH220+Bevételek!AH219+Bevételek!AH222+Bevételek!AH226+Bevételek!AH230+Bevételek!AH242+Bevételek!AH249+Bevételek!AH253+Bevételek!AH255+Bevételek!AH257</f>
        <v>1257498634</v>
      </c>
      <c r="AB24" s="76">
        <f>Bevételek!AI201+Bevételek!AI203+Bevételek!AI211+Bevételek!AI217+Bevételek!AI218+Bevételek!AI220+Bevételek!AI219+Bevételek!AI222+Bevételek!AI226+Bevételek!AI230+Bevételek!AI242+Bevételek!AI249+Bevételek!AI253+Bevételek!AI255+Bevételek!AI257</f>
        <v>1308398730</v>
      </c>
      <c r="AC24" s="831">
        <f t="shared" si="0"/>
        <v>104.04772574886152</v>
      </c>
      <c r="AD24" s="181"/>
      <c r="AE24" s="75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850"/>
    </row>
    <row r="25" spans="1:58">
      <c r="A25" s="82" t="s">
        <v>1</v>
      </c>
      <c r="B25" s="83">
        <v>5</v>
      </c>
      <c r="C25" s="151"/>
      <c r="D25" s="151">
        <f>Bevételek!K271</f>
        <v>213034798</v>
      </c>
      <c r="E25" s="151">
        <f>Bevételek!L271</f>
        <v>213034798</v>
      </c>
      <c r="F25" s="151">
        <f>Bevételek!M271</f>
        <v>0</v>
      </c>
      <c r="G25" s="151">
        <f>Bevételek!N271</f>
        <v>0</v>
      </c>
      <c r="H25" s="151">
        <f>Bevételek!O271</f>
        <v>0</v>
      </c>
      <c r="I25" s="151">
        <f>Bevételek!P271</f>
        <v>0</v>
      </c>
      <c r="J25" s="151">
        <f>Bevételek!Q271</f>
        <v>0</v>
      </c>
      <c r="K25" s="151">
        <f>Bevételek!R271</f>
        <v>0</v>
      </c>
      <c r="L25" s="151">
        <f>Bevételek!S271</f>
        <v>0</v>
      </c>
      <c r="M25" s="151">
        <f>Bevételek!T271</f>
        <v>213034798</v>
      </c>
      <c r="N25" s="151">
        <f>Bevételek!U271</f>
        <v>0</v>
      </c>
      <c r="O25" s="151">
        <f>Bevételek!V271</f>
        <v>0</v>
      </c>
      <c r="P25" s="151">
        <f>Bevételek!W271</f>
        <v>0</v>
      </c>
      <c r="Q25" s="151">
        <f>Bevételek!X271</f>
        <v>0</v>
      </c>
      <c r="R25" s="151">
        <f>Bevételek!Y271</f>
        <v>0</v>
      </c>
      <c r="S25" s="151">
        <f>Bevételek!Z271</f>
        <v>0</v>
      </c>
      <c r="T25" s="151">
        <f>Bevételek!AA271</f>
        <v>213034798</v>
      </c>
      <c r="U25" s="151">
        <f>Bevételek!AB271</f>
        <v>0</v>
      </c>
      <c r="V25" s="151">
        <f>Bevételek!AC271</f>
        <v>17178380</v>
      </c>
      <c r="W25" s="151">
        <f>Bevételek!AD271</f>
        <v>0</v>
      </c>
      <c r="X25" s="151">
        <f>Bevételek!AE271</f>
        <v>0</v>
      </c>
      <c r="Y25" s="151">
        <f>Bevételek!AF271</f>
        <v>0</v>
      </c>
      <c r="Z25" s="151">
        <f>Bevételek!AG271</f>
        <v>17178380</v>
      </c>
      <c r="AA25" s="151">
        <f>Bevételek!AH271</f>
        <v>230213178</v>
      </c>
      <c r="AB25" s="151">
        <f>Bevételek!AI271</f>
        <v>172044602</v>
      </c>
      <c r="AC25" s="845">
        <f t="shared" ref="AC25" si="18">AB25/AA25*100</f>
        <v>74.732734022723932</v>
      </c>
      <c r="AD25" s="181" t="s">
        <v>4</v>
      </c>
      <c r="AE25" s="59" t="s">
        <v>382</v>
      </c>
      <c r="AF25" s="61">
        <f>Kiadások!J1750</f>
        <v>2619956217</v>
      </c>
      <c r="AG25" s="61">
        <f>Kiadások!K1750</f>
        <v>20422702384</v>
      </c>
      <c r="AH25" s="61">
        <f>Kiadások!L1750</f>
        <v>23042658601</v>
      </c>
      <c r="AI25" s="61">
        <f>Kiadások!M1750</f>
        <v>0</v>
      </c>
      <c r="AJ25" s="61">
        <f>Kiadások!N1750</f>
        <v>0</v>
      </c>
      <c r="AK25" s="61">
        <f>Kiadások!O1750</f>
        <v>0</v>
      </c>
      <c r="AL25" s="61">
        <f>Kiadások!P1750</f>
        <v>0</v>
      </c>
      <c r="AM25" s="61">
        <f>Kiadások!Q1750</f>
        <v>-19012374</v>
      </c>
      <c r="AN25" s="61">
        <f>Kiadások!R1750</f>
        <v>0</v>
      </c>
      <c r="AO25" s="61">
        <f>Kiadások!S1750</f>
        <v>-19012374</v>
      </c>
      <c r="AP25" s="61">
        <f>Kiadások!T1750</f>
        <v>23023646227</v>
      </c>
      <c r="AQ25" s="61">
        <f>Kiadások!U1750</f>
        <v>0</v>
      </c>
      <c r="AR25" s="61">
        <f>Kiadások!V1750</f>
        <v>0</v>
      </c>
      <c r="AS25" s="61">
        <f>Kiadások!W1750</f>
        <v>0</v>
      </c>
      <c r="AT25" s="61">
        <f>Kiadások!X1750</f>
        <v>83834614</v>
      </c>
      <c r="AU25" s="61">
        <f>Kiadások!Y1750</f>
        <v>0</v>
      </c>
      <c r="AV25" s="61">
        <f>Kiadások!Z1750</f>
        <v>83834614</v>
      </c>
      <c r="AW25" s="61">
        <f>Kiadások!AA1750</f>
        <v>23107480841</v>
      </c>
      <c r="AX25" s="61">
        <f>Kiadások!AB1750</f>
        <v>0</v>
      </c>
      <c r="AY25" s="61">
        <f>Kiadások!AC1750</f>
        <v>-5500000000</v>
      </c>
      <c r="AZ25" s="61">
        <f>Kiadások!AD1750</f>
        <v>-895217606</v>
      </c>
      <c r="BA25" s="61">
        <f>Kiadások!AE1750</f>
        <v>35262957</v>
      </c>
      <c r="BB25" s="61">
        <f>Kiadások!AF1750</f>
        <v>0</v>
      </c>
      <c r="BC25" s="61">
        <f>Kiadások!AG1750</f>
        <v>-6359954649</v>
      </c>
      <c r="BD25" s="61">
        <f>Kiadások!AH1750</f>
        <v>16747526192</v>
      </c>
      <c r="BE25" s="61">
        <f>Kiadások!AI1750</f>
        <v>2032292058</v>
      </c>
      <c r="BF25" s="850">
        <f t="shared" si="14"/>
        <v>12.134879114091431</v>
      </c>
    </row>
    <row r="26" spans="1:58">
      <c r="A26" s="72" t="s">
        <v>313</v>
      </c>
      <c r="B26" s="83">
        <v>5</v>
      </c>
      <c r="C26" s="151"/>
      <c r="D26" s="76">
        <f>SUM(D25)</f>
        <v>213034798</v>
      </c>
      <c r="E26" s="76">
        <f>SUM(E25)</f>
        <v>213034798</v>
      </c>
      <c r="F26" s="76">
        <f t="shared" ref="F26:L26" si="19">SUM(F25)</f>
        <v>0</v>
      </c>
      <c r="G26" s="76">
        <f t="shared" si="19"/>
        <v>0</v>
      </c>
      <c r="H26" s="76">
        <f t="shared" si="19"/>
        <v>0</v>
      </c>
      <c r="I26" s="76">
        <f t="shared" si="19"/>
        <v>0</v>
      </c>
      <c r="J26" s="76">
        <f t="shared" si="19"/>
        <v>0</v>
      </c>
      <c r="K26" s="76">
        <f t="shared" si="19"/>
        <v>0</v>
      </c>
      <c r="L26" s="76">
        <f t="shared" si="19"/>
        <v>0</v>
      </c>
      <c r="M26" s="76">
        <f t="shared" ref="M26:S26" si="20">SUM(M25)</f>
        <v>213034798</v>
      </c>
      <c r="N26" s="76">
        <f t="shared" si="20"/>
        <v>0</v>
      </c>
      <c r="O26" s="76">
        <f t="shared" si="20"/>
        <v>0</v>
      </c>
      <c r="P26" s="76">
        <f t="shared" si="20"/>
        <v>0</v>
      </c>
      <c r="Q26" s="76">
        <f t="shared" si="20"/>
        <v>0</v>
      </c>
      <c r="R26" s="76">
        <f t="shared" si="20"/>
        <v>0</v>
      </c>
      <c r="S26" s="76">
        <f t="shared" si="20"/>
        <v>0</v>
      </c>
      <c r="T26" s="76">
        <f t="shared" ref="T26:AB26" si="21">SUM(T25)</f>
        <v>213034798</v>
      </c>
      <c r="U26" s="76">
        <f t="shared" si="21"/>
        <v>0</v>
      </c>
      <c r="V26" s="76">
        <f t="shared" si="21"/>
        <v>17178380</v>
      </c>
      <c r="W26" s="76">
        <f t="shared" si="21"/>
        <v>0</v>
      </c>
      <c r="X26" s="76">
        <f t="shared" si="21"/>
        <v>0</v>
      </c>
      <c r="Y26" s="76">
        <f t="shared" si="21"/>
        <v>0</v>
      </c>
      <c r="Z26" s="76">
        <f t="shared" si="21"/>
        <v>17178380</v>
      </c>
      <c r="AA26" s="76">
        <f t="shared" si="21"/>
        <v>230213178</v>
      </c>
      <c r="AB26" s="76">
        <f t="shared" si="21"/>
        <v>172044602</v>
      </c>
      <c r="AC26" s="831">
        <f t="shared" si="0"/>
        <v>74.732734022723932</v>
      </c>
      <c r="AD26" s="181" t="s">
        <v>5</v>
      </c>
      <c r="AE26" s="59" t="s">
        <v>382</v>
      </c>
      <c r="AF26" s="61">
        <f>Kiadások!J2034</f>
        <v>129034601</v>
      </c>
      <c r="AG26" s="61">
        <f>Kiadások!K2034</f>
        <v>755111397</v>
      </c>
      <c r="AH26" s="61">
        <f>Kiadások!L2034</f>
        <v>884145998</v>
      </c>
      <c r="AI26" s="61">
        <f>Kiadások!M2034</f>
        <v>339056475</v>
      </c>
      <c r="AJ26" s="61">
        <f>Kiadások!N2034</f>
        <v>0</v>
      </c>
      <c r="AK26" s="61">
        <f>Kiadások!O2034</f>
        <v>0</v>
      </c>
      <c r="AL26" s="61">
        <f>Kiadások!P2034</f>
        <v>1500000</v>
      </c>
      <c r="AM26" s="61">
        <f>Kiadások!Q2034</f>
        <v>-18282065</v>
      </c>
      <c r="AN26" s="61">
        <f>Kiadások!R2034</f>
        <v>0</v>
      </c>
      <c r="AO26" s="61">
        <f>Kiadások!S2034</f>
        <v>322274410</v>
      </c>
      <c r="AP26" s="61">
        <f>Kiadások!T2034</f>
        <v>1206420408</v>
      </c>
      <c r="AQ26" s="61">
        <f>Kiadások!U2034</f>
        <v>0</v>
      </c>
      <c r="AR26" s="61">
        <f>Kiadások!V2034</f>
        <v>0</v>
      </c>
      <c r="AS26" s="61">
        <f>Kiadások!W2034</f>
        <v>5515638</v>
      </c>
      <c r="AT26" s="61">
        <f>Kiadások!X2034</f>
        <v>16049086</v>
      </c>
      <c r="AU26" s="61">
        <f>Kiadások!Y2034</f>
        <v>0</v>
      </c>
      <c r="AV26" s="61">
        <f>Kiadások!Z2034</f>
        <v>21564724</v>
      </c>
      <c r="AW26" s="61">
        <f>Kiadások!AA2034</f>
        <v>1227985132</v>
      </c>
      <c r="AX26" s="61">
        <f>Kiadások!AB2034</f>
        <v>1174146932</v>
      </c>
      <c r="AY26" s="61">
        <f>Kiadások!AC2034</f>
        <v>34260604</v>
      </c>
      <c r="AZ26" s="61">
        <f>Kiadások!AD2034</f>
        <v>0</v>
      </c>
      <c r="BA26" s="61">
        <f>Kiadások!AE2034</f>
        <v>60689172</v>
      </c>
      <c r="BB26" s="61">
        <f>Kiadások!AF2034</f>
        <v>0</v>
      </c>
      <c r="BC26" s="61">
        <f>Kiadások!AG2034</f>
        <v>1269096708</v>
      </c>
      <c r="BD26" s="61">
        <f>Kiadások!AH2034</f>
        <v>2497081840</v>
      </c>
      <c r="BE26" s="61">
        <f>Kiadások!AI2034</f>
        <v>650932934</v>
      </c>
      <c r="BF26" s="850">
        <f t="shared" si="14"/>
        <v>26.067745300650618</v>
      </c>
    </row>
    <row r="27" spans="1:58">
      <c r="A27" s="72"/>
      <c r="B27" s="73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833"/>
      <c r="AD27" s="181" t="s">
        <v>593</v>
      </c>
      <c r="AE27" s="59" t="s">
        <v>382</v>
      </c>
      <c r="AF27" s="61"/>
      <c r="AG27" s="61"/>
      <c r="AH27" s="61"/>
      <c r="AI27" s="61">
        <f>Kiadások!M2047</f>
        <v>11000000</v>
      </c>
      <c r="AJ27" s="61">
        <f>Kiadások!N2047</f>
        <v>0</v>
      </c>
      <c r="AK27" s="61">
        <f>Kiadások!O2047</f>
        <v>50000000</v>
      </c>
      <c r="AL27" s="61">
        <f>Kiadások!P2047</f>
        <v>0</v>
      </c>
      <c r="AM27" s="61">
        <f>Kiadások!Q2047</f>
        <v>0</v>
      </c>
      <c r="AN27" s="61">
        <f>Kiadások!R2047</f>
        <v>0</v>
      </c>
      <c r="AO27" s="61">
        <f>Kiadások!S2047</f>
        <v>61000000</v>
      </c>
      <c r="AP27" s="61">
        <f>Kiadások!T2047</f>
        <v>61000000</v>
      </c>
      <c r="AQ27" s="61">
        <f>Kiadások!U2047</f>
        <v>0</v>
      </c>
      <c r="AR27" s="61">
        <f>Kiadások!V2047</f>
        <v>0</v>
      </c>
      <c r="AS27" s="61">
        <f>Kiadások!W2047</f>
        <v>0</v>
      </c>
      <c r="AT27" s="61">
        <f>Kiadások!X2047</f>
        <v>0</v>
      </c>
      <c r="AU27" s="61">
        <f>Kiadások!Y2047</f>
        <v>0</v>
      </c>
      <c r="AV27" s="61">
        <f>Kiadások!Z2047</f>
        <v>0</v>
      </c>
      <c r="AW27" s="61">
        <f>Kiadások!AA2047</f>
        <v>61000000</v>
      </c>
      <c r="AX27" s="61">
        <f>Kiadások!AB2047</f>
        <v>0</v>
      </c>
      <c r="AY27" s="61">
        <f>Kiadások!AC2047</f>
        <v>0</v>
      </c>
      <c r="AZ27" s="61">
        <f>Kiadások!AD2047</f>
        <v>0</v>
      </c>
      <c r="BA27" s="61">
        <f>Kiadások!AE2047</f>
        <v>0</v>
      </c>
      <c r="BB27" s="61">
        <f>Kiadások!AF2047</f>
        <v>0</v>
      </c>
      <c r="BC27" s="61">
        <f>Kiadások!AG2047</f>
        <v>0</v>
      </c>
      <c r="BD27" s="61">
        <f>Kiadások!AH2047</f>
        <v>61000000</v>
      </c>
      <c r="BE27" s="61">
        <f>Kiadások!AI2047</f>
        <v>61000000</v>
      </c>
      <c r="BF27" s="850">
        <f t="shared" si="14"/>
        <v>100</v>
      </c>
    </row>
    <row r="28" spans="1:58">
      <c r="A28" s="77" t="s">
        <v>258</v>
      </c>
      <c r="B28" s="78"/>
      <c r="C28" s="81">
        <f>C26+C24+C22</f>
        <v>2173133909</v>
      </c>
      <c r="D28" s="81">
        <f>D26+D24+D22</f>
        <v>213034798</v>
      </c>
      <c r="E28" s="81">
        <f>E26+E24+E22</f>
        <v>2386168707</v>
      </c>
      <c r="F28" s="81">
        <f t="shared" ref="F28:L28" si="22">F26+F24+F22</f>
        <v>0</v>
      </c>
      <c r="G28" s="81">
        <f t="shared" si="22"/>
        <v>0</v>
      </c>
      <c r="H28" s="81">
        <f t="shared" si="22"/>
        <v>149930314</v>
      </c>
      <c r="I28" s="81">
        <f t="shared" si="22"/>
        <v>0</v>
      </c>
      <c r="J28" s="81">
        <f t="shared" si="22"/>
        <v>0</v>
      </c>
      <c r="K28" s="81">
        <f t="shared" si="22"/>
        <v>0</v>
      </c>
      <c r="L28" s="81">
        <f t="shared" si="22"/>
        <v>149930314</v>
      </c>
      <c r="M28" s="81">
        <f t="shared" ref="M28:S28" si="23">M26+M24+M22</f>
        <v>2536099021</v>
      </c>
      <c r="N28" s="81">
        <f t="shared" si="23"/>
        <v>0</v>
      </c>
      <c r="O28" s="81">
        <f t="shared" si="23"/>
        <v>0</v>
      </c>
      <c r="P28" s="81">
        <f t="shared" si="23"/>
        <v>0</v>
      </c>
      <c r="Q28" s="81">
        <f t="shared" si="23"/>
        <v>0</v>
      </c>
      <c r="R28" s="81">
        <f t="shared" si="23"/>
        <v>0</v>
      </c>
      <c r="S28" s="81">
        <f t="shared" si="23"/>
        <v>0</v>
      </c>
      <c r="T28" s="81">
        <f t="shared" ref="T28:AB28" si="24">T26+T24+T22</f>
        <v>2536099021</v>
      </c>
      <c r="U28" s="81">
        <f t="shared" si="24"/>
        <v>0</v>
      </c>
      <c r="V28" s="81">
        <f t="shared" si="24"/>
        <v>-25993543</v>
      </c>
      <c r="W28" s="81">
        <f t="shared" si="24"/>
        <v>0</v>
      </c>
      <c r="X28" s="81">
        <f t="shared" si="24"/>
        <v>2749177</v>
      </c>
      <c r="Y28" s="81">
        <f t="shared" si="24"/>
        <v>0</v>
      </c>
      <c r="Z28" s="81">
        <f t="shared" si="24"/>
        <v>-23244366</v>
      </c>
      <c r="AA28" s="81">
        <f t="shared" si="24"/>
        <v>2512854655</v>
      </c>
      <c r="AB28" s="81">
        <f t="shared" si="24"/>
        <v>2525951572</v>
      </c>
      <c r="AC28" s="844">
        <f t="shared" si="0"/>
        <v>100.52119675819451</v>
      </c>
      <c r="AD28" s="181"/>
      <c r="AE28" s="58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848"/>
    </row>
    <row r="29" spans="1:58" ht="27" customHeight="1">
      <c r="A29" s="72" t="s">
        <v>347</v>
      </c>
      <c r="B29" s="73">
        <v>1</v>
      </c>
      <c r="C29" s="76">
        <f>Bevételek!J288+Bevételek!J295+Bevételek!J300+Bevételek!J305+Bevételek!J324+Bevételek!J330+Bevételek!J337+Bevételek!J343+Bevételek!J365+Bevételek!J373</f>
        <v>2903365524</v>
      </c>
      <c r="D29" s="76">
        <f>Bevételek!K288+Bevételek!K295+Bevételek!K300+Bevételek!K305+Bevételek!K324+Bevételek!K330+Bevételek!K337+Bevételek!K343+Bevételek!K365+Bevételek!K373</f>
        <v>0</v>
      </c>
      <c r="E29" s="76">
        <f>Bevételek!L288+Bevételek!L295+Bevételek!L300+Bevételek!L305+Bevételek!L324+Bevételek!L330+Bevételek!L337+Bevételek!L343+Bevételek!L365+Bevételek!L373</f>
        <v>2903365524</v>
      </c>
      <c r="F29" s="76">
        <f>Bevételek!M288+Bevételek!M295+Bevételek!M300+Bevételek!M305+Bevételek!M324+Bevételek!M330+Bevételek!M337+Bevételek!M343+Bevételek!M365+Bevételek!M373</f>
        <v>0</v>
      </c>
      <c r="G29" s="76">
        <f>Bevételek!N288+Bevételek!N289+Bevételek!N295+Bevételek!N300+Bevételek!N305+Bevételek!N324+Bevételek!N330+Bevételek!N337+Bevételek!N343+Bevételek!N348+Bevételek!N353+Bevételek!N365+Bevételek!N373+Bevételek!N378</f>
        <v>99523319</v>
      </c>
      <c r="H29" s="76">
        <f>Bevételek!O288+Bevételek!O289+Bevételek!O295+Bevételek!O300+Bevételek!O305+Bevételek!O324+Bevételek!O330+Bevételek!O337+Bevételek!O343+Bevételek!O348+Bevételek!O353+Bevételek!O365+Bevételek!O373+Bevételek!O378</f>
        <v>0</v>
      </c>
      <c r="I29" s="76">
        <f>Bevételek!P288+Bevételek!P289+Bevételek!P295+Bevételek!P300+Bevételek!P305+Bevételek!P324+Bevételek!P330+Bevételek!P337+Bevételek!P343+Bevételek!P348+Bevételek!P353+Bevételek!P365+Bevételek!P373+Bevételek!P378</f>
        <v>0</v>
      </c>
      <c r="J29" s="76">
        <f>Bevételek!Q288+Bevételek!Q289+Bevételek!Q295+Bevételek!Q300+Bevételek!Q305+Bevételek!Q324+Bevételek!Q330+Bevételek!Q337+Bevételek!Q343+Bevételek!Q348+Bevételek!Q353+Bevételek!Q365+Bevételek!Q373+Bevételek!Q378</f>
        <v>0</v>
      </c>
      <c r="K29" s="76">
        <f>Bevételek!R288+Bevételek!R289+Bevételek!R295+Bevételek!R300+Bevételek!R305+Bevételek!R324+Bevételek!R330+Bevételek!R337+Bevételek!R343+Bevételek!R348+Bevételek!R353+Bevételek!R365+Bevételek!R373+Bevételek!R378</f>
        <v>0</v>
      </c>
      <c r="L29" s="76">
        <f>Bevételek!S288+Bevételek!S289+Bevételek!S295+Bevételek!S300+Bevételek!S305+Bevételek!S324+Bevételek!S330+Bevételek!S337+Bevételek!S343+Bevételek!S348+Bevételek!S353+Bevételek!S365+Bevételek!S373+Bevételek!S378</f>
        <v>99523319</v>
      </c>
      <c r="M29" s="76">
        <f>Bevételek!T288+Bevételek!T289+Bevételek!T295+Bevételek!T300+Bevételek!T305+Bevételek!T324+Bevételek!T330+Bevételek!T337+Bevételek!T343+Bevételek!T348+Bevételek!T353+Bevételek!T365+Bevételek!T373+Bevételek!T378</f>
        <v>3002888843</v>
      </c>
      <c r="N29" s="76">
        <f>Bevételek!U288+Bevételek!U289+Bevételek!U295+Bevételek!U300+Bevételek!U305+Bevételek!U324+Bevételek!U330+Bevételek!U337+Bevételek!U343+Bevételek!U348+Bevételek!U353+Bevételek!U365+Bevételek!U373+Bevételek!U378</f>
        <v>110130586</v>
      </c>
      <c r="O29" s="76">
        <f>Bevételek!V288+Bevételek!V289+Bevételek!V295+Bevételek!V300+Bevételek!V305+Bevételek!V324+Bevételek!V330+Bevételek!V337+Bevételek!V343+Bevételek!V348+Bevételek!V353+Bevételek!V365+Bevételek!V373+Bevételek!V378</f>
        <v>0</v>
      </c>
      <c r="P29" s="76">
        <f>Bevételek!W288+Bevételek!W289+Bevételek!W295+Bevételek!W300+Bevételek!W305+Bevételek!W324+Bevételek!W330+Bevételek!W337+Bevételek!W343+Bevételek!W348+Bevételek!W353+Bevételek!W365+Bevételek!W373+Bevételek!W378</f>
        <v>0</v>
      </c>
      <c r="Q29" s="76">
        <f>Bevételek!X288+Bevételek!X289+Bevételek!X295+Bevételek!X300+Bevételek!X305+Bevételek!X324+Bevételek!X330+Bevételek!X337+Bevételek!X343+Bevételek!X348+Bevételek!X353+Bevételek!X365+Bevételek!X373+Bevételek!X378</f>
        <v>0</v>
      </c>
      <c r="R29" s="76">
        <f>Bevételek!Y288+Bevételek!Y289+Bevételek!Y295+Bevételek!Y300+Bevételek!Y305+Bevételek!Y324+Bevételek!Y330+Bevételek!Y337+Bevételek!Y343+Bevételek!Y348+Bevételek!Y353+Bevételek!Y365+Bevételek!Y373+Bevételek!Y378</f>
        <v>0</v>
      </c>
      <c r="S29" s="76">
        <f>Bevételek!Z288+Bevételek!Z289+Bevételek!Z295+Bevételek!Z300+Bevételek!Z305+Bevételek!Z324+Bevételek!Z330+Bevételek!Z337+Bevételek!Z343+Bevételek!Z348+Bevételek!Z353+Bevételek!Z365+Bevételek!Z373+Bevételek!Z378</f>
        <v>110130586</v>
      </c>
      <c r="T29" s="76">
        <f>Bevételek!AA288+Bevételek!AA289+Bevételek!AA295+Bevételek!AA300+Bevételek!AA305+Bevételek!AA324+Bevételek!AA330+Bevételek!AA337+Bevételek!AA343+Bevételek!AA348+Bevételek!AA353+Bevételek!AA365+Bevételek!AA373+Bevételek!AA378</f>
        <v>3113019429</v>
      </c>
      <c r="U29" s="76">
        <f>Bevételek!AB288+Bevételek!AB289+Bevételek!AB295+Bevételek!AB300+Bevételek!AB305+Bevételek!AB324+Bevételek!AB330+Bevételek!AB337+Bevételek!AB343+Bevételek!AB348+Bevételek!AB353+Bevételek!AB365+Bevételek!AB373+Bevételek!AB378</f>
        <v>46075031</v>
      </c>
      <c r="V29" s="76">
        <f>Bevételek!AC288+Bevételek!AC289+Bevételek!AC295+Bevételek!AC300+Bevételek!AC305+Bevételek!AC324+Bevételek!AC330+Bevételek!AC337+Bevételek!AC343+Bevételek!AC348+Bevételek!AC353+Bevételek!AC365+Bevételek!AC373+Bevételek!AC378</f>
        <v>0</v>
      </c>
      <c r="W29" s="76">
        <f>Bevételek!AD288+Bevételek!AD289+Bevételek!AD295+Bevételek!AD300+Bevételek!AD305+Bevételek!AD324+Bevételek!AD330+Bevételek!AD337+Bevételek!AD343+Bevételek!AD348+Bevételek!AD353+Bevételek!AD365+Bevételek!AD373+Bevételek!AD378</f>
        <v>0</v>
      </c>
      <c r="X29" s="76">
        <f>Bevételek!AE288+Bevételek!AE289+Bevételek!AE295+Bevételek!AE300+Bevételek!AE305+Bevételek!AE324+Bevételek!AE330+Bevételek!AE337+Bevételek!AE343+Bevételek!AE348+Bevételek!AE353+Bevételek!AE365+Bevételek!AE373+Bevételek!AE378</f>
        <v>0</v>
      </c>
      <c r="Y29" s="76">
        <f>Bevételek!AF288+Bevételek!AF289+Bevételek!AF295+Bevételek!AF300+Bevételek!AF305+Bevételek!AF324+Bevételek!AF330+Bevételek!AF337+Bevételek!AF343+Bevételek!AF348+Bevételek!AF353+Bevételek!AF365+Bevételek!AF373+Bevételek!AF378</f>
        <v>0</v>
      </c>
      <c r="Z29" s="76">
        <f>Bevételek!AG288+Bevételek!AG289+Bevételek!AG295+Bevételek!AG300+Bevételek!AG305+Bevételek!AG324+Bevételek!AG330+Bevételek!AG337+Bevételek!AG343+Bevételek!AG348+Bevételek!AG353+Bevételek!AG365+Bevételek!AG373+Bevételek!AG378</f>
        <v>46075031</v>
      </c>
      <c r="AA29" s="76">
        <f>Bevételek!AH288+Bevételek!AH289+Bevételek!AH295+Bevételek!AH300+Bevételek!AH305+Bevételek!AH324+Bevételek!AH330+Bevételek!AH337+Bevételek!AH343+Bevételek!AH348+Bevételek!AH353+Bevételek!AH365+Bevételek!AH373+Bevételek!AH378</f>
        <v>3159094460</v>
      </c>
      <c r="AB29" s="76">
        <f>Bevételek!AI288+Bevételek!AI289+Bevételek!AI295+Bevételek!AI300+Bevételek!AI305+Bevételek!AI324+Bevételek!AI330+Bevételek!AI337+Bevételek!AI343+Bevételek!AI348+Bevételek!AI353+Bevételek!AI365+Bevételek!AI373+Bevételek!AI378</f>
        <v>3161092424</v>
      </c>
      <c r="AC29" s="831">
        <f t="shared" ref="AC29:AC49" si="25">AB29/AA29*100</f>
        <v>100.0632448325081</v>
      </c>
      <c r="AD29" s="182" t="s">
        <v>265</v>
      </c>
      <c r="AE29" s="80">
        <v>8</v>
      </c>
      <c r="AF29" s="152"/>
      <c r="AG29" s="152"/>
      <c r="AH29" s="152"/>
      <c r="AI29" s="152"/>
      <c r="AJ29" s="152"/>
      <c r="AK29" s="152"/>
      <c r="AL29" s="152"/>
      <c r="AM29" s="152">
        <f>Kiadások!Q2174</f>
        <v>1000000</v>
      </c>
      <c r="AN29" s="152">
        <f>Kiadások!R2174</f>
        <v>0</v>
      </c>
      <c r="AO29" s="152">
        <f>Kiadások!S2174</f>
        <v>1000000</v>
      </c>
      <c r="AP29" s="152">
        <f>Kiadások!T2174</f>
        <v>1000000</v>
      </c>
      <c r="AQ29" s="152">
        <f>Kiadások!U2174</f>
        <v>0</v>
      </c>
      <c r="AR29" s="152">
        <f>Kiadások!V2174</f>
        <v>0</v>
      </c>
      <c r="AS29" s="152">
        <f>Kiadások!W2174</f>
        <v>686340</v>
      </c>
      <c r="AT29" s="152">
        <f>Kiadások!X2174</f>
        <v>0</v>
      </c>
      <c r="AU29" s="152">
        <f>Kiadások!Y2174</f>
        <v>0</v>
      </c>
      <c r="AV29" s="152">
        <f>Kiadások!Z2174</f>
        <v>686340</v>
      </c>
      <c r="AW29" s="152">
        <f>Kiadások!AA2174</f>
        <v>1686340</v>
      </c>
      <c r="AX29" s="152">
        <f>Kiadások!AB2174</f>
        <v>0</v>
      </c>
      <c r="AY29" s="152">
        <f>Kiadások!AC2174</f>
        <v>18524000</v>
      </c>
      <c r="AZ29" s="152">
        <f>Kiadások!AD2174</f>
        <v>0</v>
      </c>
      <c r="BA29" s="152">
        <f>Kiadások!AE2174</f>
        <v>0</v>
      </c>
      <c r="BB29" s="152">
        <f>Kiadások!AF2174</f>
        <v>0</v>
      </c>
      <c r="BC29" s="152">
        <f>Kiadások!AG2174</f>
        <v>18524000</v>
      </c>
      <c r="BD29" s="152">
        <f>Kiadások!AH2174</f>
        <v>20210340</v>
      </c>
      <c r="BE29" s="152">
        <f>Kiadások!AI2174</f>
        <v>20210340</v>
      </c>
      <c r="BF29" s="848">
        <f t="shared" si="14"/>
        <v>100</v>
      </c>
    </row>
    <row r="30" spans="1:58">
      <c r="A30" s="72" t="s">
        <v>642</v>
      </c>
      <c r="B30" s="73"/>
      <c r="C30" s="76"/>
      <c r="D30" s="76"/>
      <c r="E30" s="76"/>
      <c r="F30" s="76"/>
      <c r="G30" s="76">
        <f>Bevételek!N386</f>
        <v>12036691</v>
      </c>
      <c r="H30" s="76">
        <f>Bevételek!O386</f>
        <v>0</v>
      </c>
      <c r="I30" s="76">
        <f>Bevételek!P386</f>
        <v>0</v>
      </c>
      <c r="J30" s="76">
        <f>Bevételek!Q386</f>
        <v>0</v>
      </c>
      <c r="K30" s="76">
        <f>Bevételek!R386</f>
        <v>0</v>
      </c>
      <c r="L30" s="76">
        <f>Bevételek!S386</f>
        <v>12036691</v>
      </c>
      <c r="M30" s="76">
        <f>Bevételek!T386</f>
        <v>12036691</v>
      </c>
      <c r="N30" s="76">
        <f>Bevételek!U392</f>
        <v>8067810</v>
      </c>
      <c r="O30" s="76">
        <f>Bevételek!V392</f>
        <v>0</v>
      </c>
      <c r="P30" s="76">
        <f>Bevételek!W392</f>
        <v>0</v>
      </c>
      <c r="Q30" s="76">
        <f>Bevételek!X392</f>
        <v>0</v>
      </c>
      <c r="R30" s="76">
        <f>Bevételek!Y392</f>
        <v>0</v>
      </c>
      <c r="S30" s="76">
        <f>Bevételek!Z392</f>
        <v>8067810</v>
      </c>
      <c r="T30" s="76">
        <f>Bevételek!AA392</f>
        <v>20104501</v>
      </c>
      <c r="U30" s="76">
        <f>Bevételek!AB392</f>
        <v>207653670</v>
      </c>
      <c r="V30" s="76">
        <f>Bevételek!AC392</f>
        <v>0</v>
      </c>
      <c r="W30" s="76">
        <f>Bevételek!AD392</f>
        <v>0</v>
      </c>
      <c r="X30" s="76">
        <f>Bevételek!AE392</f>
        <v>0</v>
      </c>
      <c r="Y30" s="76">
        <f>Bevételek!AF392</f>
        <v>0</v>
      </c>
      <c r="Z30" s="76">
        <f>Bevételek!AG392</f>
        <v>207653670</v>
      </c>
      <c r="AA30" s="76">
        <f>Bevételek!AH392</f>
        <v>227758171</v>
      </c>
      <c r="AB30" s="76">
        <f>Bevételek!AI392</f>
        <v>227758171</v>
      </c>
      <c r="AC30" s="831">
        <f t="shared" si="25"/>
        <v>100</v>
      </c>
      <c r="AD30" s="182"/>
      <c r="AE30" s="80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850"/>
    </row>
    <row r="31" spans="1:58">
      <c r="A31" s="72" t="s">
        <v>348</v>
      </c>
      <c r="B31" s="73">
        <v>2</v>
      </c>
      <c r="C31" s="76"/>
      <c r="D31" s="76"/>
      <c r="E31" s="76">
        <f>Bevételek!L400</f>
        <v>0</v>
      </c>
      <c r="F31" s="76">
        <f>Bevételek!M400</f>
        <v>0</v>
      </c>
      <c r="G31" s="76">
        <f>Bevételek!N400</f>
        <v>12036691</v>
      </c>
      <c r="H31" s="76">
        <f>Bevételek!O400</f>
        <v>0</v>
      </c>
      <c r="I31" s="76">
        <f>Bevételek!P400</f>
        <v>0</v>
      </c>
      <c r="J31" s="76">
        <f>Bevételek!Q400</f>
        <v>0</v>
      </c>
      <c r="K31" s="76">
        <f>Bevételek!R400</f>
        <v>0</v>
      </c>
      <c r="L31" s="76">
        <f>Bevételek!S400</f>
        <v>12036691</v>
      </c>
      <c r="M31" s="76">
        <f>Bevételek!T400</f>
        <v>0</v>
      </c>
      <c r="N31" s="76">
        <f>Bevételek!U400</f>
        <v>239000</v>
      </c>
      <c r="O31" s="76">
        <f>Bevételek!V400</f>
        <v>0</v>
      </c>
      <c r="P31" s="76">
        <f>Bevételek!W400</f>
        <v>0</v>
      </c>
      <c r="Q31" s="76">
        <f>Bevételek!X400</f>
        <v>0</v>
      </c>
      <c r="R31" s="76">
        <f>Bevételek!Y400</f>
        <v>0</v>
      </c>
      <c r="S31" s="76">
        <f>Bevételek!Z400</f>
        <v>239000</v>
      </c>
      <c r="T31" s="76">
        <f>Bevételek!AA400</f>
        <v>239000</v>
      </c>
      <c r="U31" s="76">
        <f>Bevételek!AB400</f>
        <v>1000247428</v>
      </c>
      <c r="V31" s="76">
        <f>Bevételek!AC400</f>
        <v>0</v>
      </c>
      <c r="W31" s="76">
        <f>Bevételek!AD400</f>
        <v>0</v>
      </c>
      <c r="X31" s="76">
        <f>Bevételek!AE400</f>
        <v>0</v>
      </c>
      <c r="Y31" s="76">
        <f>Bevételek!AF400</f>
        <v>0</v>
      </c>
      <c r="Z31" s="76">
        <f>Bevételek!AG400</f>
        <v>1000247428</v>
      </c>
      <c r="AA31" s="76">
        <f>Bevételek!AH400</f>
        <v>1000486428</v>
      </c>
      <c r="AB31" s="76">
        <f>Bevételek!AI400</f>
        <v>1000486428</v>
      </c>
      <c r="AC31" s="831">
        <f t="shared" si="25"/>
        <v>100</v>
      </c>
      <c r="AD31" s="182" t="s">
        <v>317</v>
      </c>
      <c r="AE31" s="86" t="s">
        <v>318</v>
      </c>
      <c r="AF31" s="152"/>
      <c r="AG31" s="152">
        <f>Kiadások!K2185</f>
        <v>18000000</v>
      </c>
      <c r="AH31" s="152">
        <f>Kiadások!L2185</f>
        <v>18000000</v>
      </c>
      <c r="AI31" s="152">
        <f>Kiadások!M2185</f>
        <v>1500000</v>
      </c>
      <c r="AJ31" s="152">
        <f>Kiadások!N2185</f>
        <v>0</v>
      </c>
      <c r="AK31" s="152">
        <f>Kiadások!O2185</f>
        <v>0</v>
      </c>
      <c r="AL31" s="152">
        <f>Kiadások!P2185</f>
        <v>0</v>
      </c>
      <c r="AM31" s="152">
        <f>Kiadások!Q2185</f>
        <v>0</v>
      </c>
      <c r="AN31" s="152">
        <f>Kiadások!R2185</f>
        <v>0</v>
      </c>
      <c r="AO31" s="152">
        <f>Kiadások!S2185</f>
        <v>1500000</v>
      </c>
      <c r="AP31" s="152">
        <f>Kiadások!T2185</f>
        <v>19500000</v>
      </c>
      <c r="AQ31" s="152">
        <f>Kiadások!U2185</f>
        <v>0</v>
      </c>
      <c r="AR31" s="152">
        <f>Kiadások!V2185</f>
        <v>0</v>
      </c>
      <c r="AS31" s="152">
        <f>Kiadások!W2185</f>
        <v>0</v>
      </c>
      <c r="AT31" s="152">
        <f>Kiadások!X2185</f>
        <v>0</v>
      </c>
      <c r="AU31" s="152">
        <f>Kiadások!Y2185</f>
        <v>0</v>
      </c>
      <c r="AV31" s="152">
        <f>Kiadások!Z2185</f>
        <v>0</v>
      </c>
      <c r="AW31" s="152">
        <f>Kiadások!AA2185</f>
        <v>19500000</v>
      </c>
      <c r="AX31" s="152">
        <f>Kiadások!AB2185</f>
        <v>0</v>
      </c>
      <c r="AY31" s="152">
        <f>Kiadások!AC2185</f>
        <v>0</v>
      </c>
      <c r="AZ31" s="152">
        <f>Kiadások!AD2185</f>
        <v>0</v>
      </c>
      <c r="BA31" s="152">
        <f>Kiadások!AE2185</f>
        <v>0</v>
      </c>
      <c r="BB31" s="152">
        <f>Kiadások!AF2185</f>
        <v>0</v>
      </c>
      <c r="BC31" s="152">
        <f>Kiadások!AG2185</f>
        <v>0</v>
      </c>
      <c r="BD31" s="152">
        <f>Kiadások!AH2185</f>
        <v>19500000</v>
      </c>
      <c r="BE31" s="152">
        <f>Kiadások!AI2185</f>
        <v>7500000</v>
      </c>
      <c r="BF31" s="848">
        <f t="shared" si="14"/>
        <v>38.461538461538467</v>
      </c>
    </row>
    <row r="32" spans="1:58">
      <c r="A32" s="87" t="s">
        <v>259</v>
      </c>
      <c r="B32" s="88">
        <v>1</v>
      </c>
      <c r="C32" s="81">
        <f>SUM(C29:C31)</f>
        <v>2903365524</v>
      </c>
      <c r="D32" s="81"/>
      <c r="E32" s="81">
        <f>SUM(E29:E31)</f>
        <v>2903365524</v>
      </c>
      <c r="F32" s="81">
        <f t="shared" ref="F32:L32" si="26">SUM(F29:F31)</f>
        <v>0</v>
      </c>
      <c r="G32" s="81">
        <f t="shared" si="26"/>
        <v>123596701</v>
      </c>
      <c r="H32" s="81">
        <f t="shared" si="26"/>
        <v>0</v>
      </c>
      <c r="I32" s="81">
        <f t="shared" si="26"/>
        <v>0</v>
      </c>
      <c r="J32" s="81">
        <f t="shared" si="26"/>
        <v>0</v>
      </c>
      <c r="K32" s="81">
        <f t="shared" si="26"/>
        <v>0</v>
      </c>
      <c r="L32" s="81">
        <f t="shared" si="26"/>
        <v>123596701</v>
      </c>
      <c r="M32" s="81">
        <f t="shared" ref="M32:S32" si="27">SUM(M29:M31)</f>
        <v>3014925534</v>
      </c>
      <c r="N32" s="81">
        <f t="shared" si="27"/>
        <v>118437396</v>
      </c>
      <c r="O32" s="81">
        <f t="shared" si="27"/>
        <v>0</v>
      </c>
      <c r="P32" s="81">
        <f t="shared" si="27"/>
        <v>0</v>
      </c>
      <c r="Q32" s="81">
        <f t="shared" si="27"/>
        <v>0</v>
      </c>
      <c r="R32" s="81">
        <f t="shared" si="27"/>
        <v>0</v>
      </c>
      <c r="S32" s="81">
        <f t="shared" si="27"/>
        <v>118437396</v>
      </c>
      <c r="T32" s="81">
        <f t="shared" ref="T32:AB32" si="28">SUM(T29:T31)</f>
        <v>3133362930</v>
      </c>
      <c r="U32" s="81">
        <f t="shared" si="28"/>
        <v>1253976129</v>
      </c>
      <c r="V32" s="81">
        <f t="shared" si="28"/>
        <v>0</v>
      </c>
      <c r="W32" s="81">
        <f t="shared" si="28"/>
        <v>0</v>
      </c>
      <c r="X32" s="81">
        <f t="shared" si="28"/>
        <v>0</v>
      </c>
      <c r="Y32" s="81">
        <f t="shared" si="28"/>
        <v>0</v>
      </c>
      <c r="Z32" s="81">
        <f t="shared" si="28"/>
        <v>1253976129</v>
      </c>
      <c r="AA32" s="81">
        <f t="shared" si="28"/>
        <v>4387339059</v>
      </c>
      <c r="AB32" s="81">
        <f t="shared" si="28"/>
        <v>4389337023</v>
      </c>
      <c r="AC32" s="844">
        <f t="shared" si="25"/>
        <v>100.04553931148543</v>
      </c>
      <c r="AD32" s="183"/>
      <c r="AE32" s="59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848"/>
    </row>
    <row r="33" spans="1:58">
      <c r="A33" s="72" t="s">
        <v>240</v>
      </c>
      <c r="B33" s="73">
        <v>1</v>
      </c>
      <c r="C33" s="76">
        <f>Bevételek!J413+Bevételek!J417+Bevételek!J418+Bevételek!J419+Bevételek!J420+Bevételek!J421+Bevételek!J422+Bevételek!J423+Bevételek!J424+Bevételek!J425+Bevételek!J426+Bevételek!J427+Bevételek!J428+Bevételek!J429+Bevételek!J430+Bevételek!J431+Bevételek!J432+Bevételek!J434+Bevételek!J433+Bevételek!J435</f>
        <v>429446145</v>
      </c>
      <c r="D33" s="76">
        <f>Bevételek!K413+Bevételek!K417+Bevételek!K418+Bevételek!K419+Bevételek!K420+Bevételek!K421+Bevételek!K422+Bevételek!K423+Bevételek!K424+Bevételek!K425+Bevételek!K426+Bevételek!K427+Bevételek!K428+Bevételek!K429+Bevételek!K430+Bevételek!K431+Bevételek!K432+Bevételek!K434+Bevételek!K433+Bevételek!K435</f>
        <v>0</v>
      </c>
      <c r="E33" s="76">
        <f>Bevételek!L413+Bevételek!L417+Bevételek!L418+Bevételek!L419+Bevételek!L420+Bevételek!L421+Bevételek!L422+Bevételek!L423+Bevételek!L424+Bevételek!L425+Bevételek!L426+Bevételek!L427+Bevételek!L428+Bevételek!L429+Bevételek!L430+Bevételek!L431+Bevételek!L432+Bevételek!L434+Bevételek!L433+Bevételek!L435</f>
        <v>429446145</v>
      </c>
      <c r="F33" s="76">
        <f>Bevételek!M413+Bevételek!M417+Bevételek!M418+Bevételek!M419+Bevételek!M420+Bevételek!M421+Bevételek!M422+Bevételek!M423+Bevételek!M424+Bevételek!M425+Bevételek!M426+Bevételek!M427+Bevételek!M428+Bevételek!M429+Bevételek!M430+Bevételek!M431+Bevételek!M432+Bevételek!M434+Bevételek!M433+Bevételek!M435</f>
        <v>0</v>
      </c>
      <c r="G33" s="76">
        <f>Bevételek!N413+Bevételek!N417+Bevételek!N418+Bevételek!N419+Bevételek!N420+Bevételek!N421+Bevételek!N422+Bevételek!N423+Bevételek!N424+Bevételek!N425+Bevételek!N426+Bevételek!N427+Bevételek!N428+Bevételek!N429+Bevételek!N430+Bevételek!N431+Bevételek!N432+Bevételek!N434+Bevételek!N433+Bevételek!N435</f>
        <v>0</v>
      </c>
      <c r="H33" s="76">
        <f>Bevételek!O413+Bevételek!O417+Bevételek!O418+Bevételek!O419+Bevételek!O420+Bevételek!O421+Bevételek!O422+Bevételek!O423+Bevételek!O424+Bevételek!O425+Bevételek!O426+Bevételek!O427+Bevételek!O428+Bevételek!O429+Bevételek!O430+Bevételek!O431+Bevételek!O432+Bevételek!O434+Bevételek!O433+Bevételek!O435</f>
        <v>0</v>
      </c>
      <c r="I33" s="76">
        <f>Bevételek!P413+Bevételek!P417+Bevételek!P418+Bevételek!P419+Bevételek!P420+Bevételek!P421+Bevételek!P422+Bevételek!P423+Bevételek!P424+Bevételek!P425+Bevételek!P426+Bevételek!P427+Bevételek!P428+Bevételek!P429+Bevételek!P430+Bevételek!P431+Bevételek!P432+Bevételek!P434+Bevételek!P433+Bevételek!P435+Bevételek!P436</f>
        <v>825200</v>
      </c>
      <c r="J33" s="76">
        <f>Bevételek!Q413+Bevételek!Q417+Bevételek!Q418+Bevételek!Q419+Bevételek!Q420+Bevételek!Q421+Bevételek!Q422+Bevételek!Q423+Bevételek!Q424+Bevételek!Q425+Bevételek!Q426+Bevételek!Q427+Bevételek!Q428+Bevételek!Q429+Bevételek!Q430+Bevételek!Q431+Bevételek!Q432+Bevételek!Q434+Bevételek!Q433+Bevételek!Q435+Bevételek!Q436</f>
        <v>0</v>
      </c>
      <c r="K33" s="76">
        <f>Bevételek!R413+Bevételek!R417+Bevételek!R418+Bevételek!R419+Bevételek!R420+Bevételek!R421+Bevételek!R422+Bevételek!R423+Bevételek!R424+Bevételek!R425+Bevételek!R426+Bevételek!R427+Bevételek!R428+Bevételek!R429+Bevételek!R430+Bevételek!R431+Bevételek!R432+Bevételek!R434+Bevételek!R433+Bevételek!R435+Bevételek!R436</f>
        <v>0</v>
      </c>
      <c r="L33" s="76">
        <f>Bevételek!S413+Bevételek!S417+Bevételek!S418+Bevételek!S419+Bevételek!S420+Bevételek!S421+Bevételek!S422+Bevételek!S423+Bevételek!S424+Bevételek!S425+Bevételek!S426+Bevételek!S427+Bevételek!S428+Bevételek!S429+Bevételek!S430+Bevételek!S431+Bevételek!S432+Bevételek!S434+Bevételek!S433+Bevételek!S435+Bevételek!S436</f>
        <v>825200</v>
      </c>
      <c r="M33" s="76">
        <f>Bevételek!T413+Bevételek!T417+Bevételek!T418+Bevételek!T419+Bevételek!T420+Bevételek!T421+Bevételek!T422+Bevételek!T423+Bevételek!T424+Bevételek!T425+Bevételek!T426+Bevételek!T427+Bevételek!T428+Bevételek!T429+Bevételek!T430+Bevételek!T431+Bevételek!T432+Bevételek!T434+Bevételek!T433+Bevételek!T435+Bevételek!T436</f>
        <v>430271345</v>
      </c>
      <c r="N33" s="76">
        <f>Bevételek!U413+Bevételek!U417+Bevételek!U418+Bevételek!U419+Bevételek!U420+Bevételek!U421+Bevételek!U422+Bevételek!U423+Bevételek!U424+Bevételek!U425+Bevételek!U426+Bevételek!U427+Bevételek!U428+Bevételek!U429+Bevételek!U430+Bevételek!U431+Bevételek!U432+Bevételek!U434+Bevételek!U433+Bevételek!U435+Bevételek!U436+Bevételek!U438</f>
        <v>0</v>
      </c>
      <c r="O33" s="76">
        <f>Bevételek!V413+Bevételek!V417+Bevételek!V418+Bevételek!V419+Bevételek!V420+Bevételek!V421+Bevételek!V422+Bevételek!V423+Bevételek!V424+Bevételek!V425+Bevételek!V426+Bevételek!V427+Bevételek!V428+Bevételek!V429+Bevételek!V430+Bevételek!V431+Bevételek!V432+Bevételek!V434+Bevételek!V433+Bevételek!V435+Bevételek!V436+Bevételek!V438</f>
        <v>0</v>
      </c>
      <c r="P33" s="76">
        <f>Bevételek!W413+Bevételek!W417+Bevételek!W418+Bevételek!W419+Bevételek!W420+Bevételek!W421+Bevételek!W422+Bevételek!W423+Bevételek!W424+Bevételek!W425+Bevételek!W426+Bevételek!W427+Bevételek!W428+Bevételek!W429+Bevételek!W430+Bevételek!W431+Bevételek!W432+Bevételek!W434+Bevételek!W433+Bevételek!W435+Bevételek!W436+Bevételek!W438</f>
        <v>32745350</v>
      </c>
      <c r="Q33" s="76">
        <f>Bevételek!X413+Bevételek!X417+Bevételek!X418+Bevételek!X419+Bevételek!X420+Bevételek!X421+Bevételek!X422+Bevételek!X423+Bevételek!X424+Bevételek!X425+Bevételek!X426+Bevételek!X427+Bevételek!X428+Bevételek!X429+Bevételek!X430+Bevételek!X431+Bevételek!X432+Bevételek!X434+Bevételek!X433+Bevételek!X435+Bevételek!X436+Bevételek!X438</f>
        <v>0</v>
      </c>
      <c r="R33" s="76">
        <f>Bevételek!Y413+Bevételek!Y417+Bevételek!Y418+Bevételek!Y419+Bevételek!Y420+Bevételek!Y421+Bevételek!Y422+Bevételek!Y423+Bevételek!Y424+Bevételek!Y425+Bevételek!Y426+Bevételek!Y427+Bevételek!Y428+Bevételek!Y429+Bevételek!Y430+Bevételek!Y431+Bevételek!Y432+Bevételek!Y434+Bevételek!Y433+Bevételek!Y435+Bevételek!Y436+Bevételek!Y438</f>
        <v>0</v>
      </c>
      <c r="S33" s="76">
        <f>Bevételek!Z413+Bevételek!Z417+Bevételek!Z418+Bevételek!Z419+Bevételek!Z420+Bevételek!Z421+Bevételek!Z422+Bevételek!Z423+Bevételek!Z424+Bevételek!Z425+Bevételek!Z426+Bevételek!Z427+Bevételek!Z428+Bevételek!Z429+Bevételek!Z430+Bevételek!Z431+Bevételek!Z432+Bevételek!Z434+Bevételek!Z433+Bevételek!Z435+Bevételek!Z436+Bevételek!Z438</f>
        <v>32745350</v>
      </c>
      <c r="T33" s="76">
        <f>Bevételek!AA413+Bevételek!AA417+Bevételek!AA418+Bevételek!AA419+Bevételek!AA420+Bevételek!AA421+Bevételek!AA422+Bevételek!AA423+Bevételek!AA424+Bevételek!AA425+Bevételek!AA426+Bevételek!AA427+Bevételek!AA428+Bevételek!AA429+Bevételek!AA430+Bevételek!AA431+Bevételek!AA432+Bevételek!AA434+Bevételek!AA433+Bevételek!AA435+Bevételek!AA436+Bevételek!AA438</f>
        <v>463016695</v>
      </c>
      <c r="U33" s="76">
        <f>Bevételek!AB413+Bevételek!AB417+Bevételek!AB418+Bevételek!AB419+Bevételek!AB420+Bevételek!AB421+Bevételek!AB422+Bevételek!AB423+Bevételek!AB424+Bevételek!AB425+Bevételek!AB426+Bevételek!AB427+Bevételek!AB428+Bevételek!AB429+Bevételek!AB430+Bevételek!AB431+Bevételek!AB432+Bevételek!AB434+Bevételek!AB433+Bevételek!AB435+Bevételek!AB436+Bevételek!AB438</f>
        <v>0</v>
      </c>
      <c r="V33" s="76">
        <f>Bevételek!AC413+Bevételek!AC417+Bevételek!AC418+Bevételek!AC419+Bevételek!AC420+Bevételek!AC421+Bevételek!AC422+Bevételek!AC423+Bevételek!AC424+Bevételek!AC425+Bevételek!AC426+Bevételek!AC427+Bevételek!AC428+Bevételek!AC429+Bevételek!AC430+Bevételek!AC431+Bevételek!AC432+Bevételek!AC434+Bevételek!AC433+Bevételek!AC435+Bevételek!AC436+Bevételek!AC438</f>
        <v>0</v>
      </c>
      <c r="W33" s="76">
        <f>Bevételek!AD413+Bevételek!AD417+Bevételek!AD418+Bevételek!AD419+Bevételek!AD420+Bevételek!AD421+Bevételek!AD422+Bevételek!AD423+Bevételek!AD424+Bevételek!AD425+Bevételek!AD426+Bevételek!AD427+Bevételek!AD428+Bevételek!AD429+Bevételek!AD430+Bevételek!AD431+Bevételek!AD432+Bevételek!AD434+Bevételek!AD433+Bevételek!AD435+Bevételek!AD436+Bevételek!AD438</f>
        <v>-9719707</v>
      </c>
      <c r="X33" s="76">
        <f>Bevételek!AE413+Bevételek!AE417+Bevételek!AE418+Bevételek!AE419+Bevételek!AE420+Bevételek!AE421+Bevételek!AE422+Bevételek!AE423+Bevételek!AE424+Bevételek!AE425+Bevételek!AE426+Bevételek!AE427+Bevételek!AE428+Bevételek!AE429+Bevételek!AE430+Bevételek!AE431+Bevételek!AE432+Bevételek!AE434+Bevételek!AE433+Bevételek!AE435+Bevételek!AE436+Bevételek!AE438</f>
        <v>0</v>
      </c>
      <c r="Y33" s="76">
        <f>Bevételek!AF413+Bevételek!AF417+Bevételek!AF418+Bevételek!AF419+Bevételek!AF420+Bevételek!AF421+Bevételek!AF422+Bevételek!AF423+Bevételek!AF424+Bevételek!AF425+Bevételek!AF426+Bevételek!AF427+Bevételek!AF428+Bevételek!AF429+Bevételek!AF430+Bevételek!AF431+Bevételek!AF432+Bevételek!AF434+Bevételek!AF433+Bevételek!AF435+Bevételek!AF436+Bevételek!AF438</f>
        <v>0</v>
      </c>
      <c r="Z33" s="76">
        <f>Bevételek!AG413+Bevételek!AG417+Bevételek!AG418+Bevételek!AG419+Bevételek!AG420+Bevételek!AG421+Bevételek!AG422+Bevételek!AG423+Bevételek!AG424+Bevételek!AG425+Bevételek!AG426+Bevételek!AG427+Bevételek!AG428+Bevételek!AG429+Bevételek!AG430+Bevételek!AG431+Bevételek!AG432+Bevételek!AG434+Bevételek!AG433+Bevételek!AG435+Bevételek!AG436+Bevételek!AG438</f>
        <v>-9719707</v>
      </c>
      <c r="AA33" s="76">
        <f>Bevételek!AH413+Bevételek!AH417+Bevételek!AH418+Bevételek!AH419+Bevételek!AH420+Bevételek!AH421+Bevételek!AH422+Bevételek!AH423+Bevételek!AH424+Bevételek!AH425+Bevételek!AH426+Bevételek!AH427+Bevételek!AH428+Bevételek!AH429+Bevételek!AH430+Bevételek!AH431+Bevételek!AH432+Bevételek!AH434+Bevételek!AH433+Bevételek!AH435+Bevételek!AH436+Bevételek!AH438</f>
        <v>453296988</v>
      </c>
      <c r="AB33" s="76">
        <f>Bevételek!AI413+Bevételek!AI417+Bevételek!AI418+Bevételek!AI419+Bevételek!AI420+Bevételek!AI421+Bevételek!AI422+Bevételek!AI423+Bevételek!AI424+Bevételek!AI425+Bevételek!AI426+Bevételek!AI427+Bevételek!AI428+Bevételek!AI429+Bevételek!AI430+Bevételek!AI431+Bevételek!AI432+Bevételek!AI434+Bevételek!AI433+Bevételek!AI435+Bevételek!AI436+Bevételek!AI438</f>
        <v>453296988</v>
      </c>
      <c r="AC33" s="831">
        <f t="shared" si="25"/>
        <v>100</v>
      </c>
      <c r="AD33" s="179"/>
      <c r="AE33" s="58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850"/>
    </row>
    <row r="34" spans="1:58">
      <c r="A34" s="72" t="s">
        <v>241</v>
      </c>
      <c r="B34" s="73">
        <v>1</v>
      </c>
      <c r="C34" s="76">
        <f>Bevételek!J459</f>
        <v>1114766770</v>
      </c>
      <c r="D34" s="76"/>
      <c r="E34" s="76">
        <f>Bevételek!L459</f>
        <v>1114766770</v>
      </c>
      <c r="F34" s="76">
        <f>Bevételek!M459</f>
        <v>0</v>
      </c>
      <c r="G34" s="76">
        <f>Bevételek!N459</f>
        <v>0</v>
      </c>
      <c r="H34" s="76">
        <f>Bevételek!O459</f>
        <v>0</v>
      </c>
      <c r="I34" s="76">
        <f>Bevételek!P459-Bevételek!P452-Bevételek!P451</f>
        <v>17832591</v>
      </c>
      <c r="J34" s="76">
        <f>Bevételek!Q459-Bevételek!Q452-Bevételek!Q451</f>
        <v>0</v>
      </c>
      <c r="K34" s="76">
        <f>Bevételek!R459-Bevételek!R452-Bevételek!R451</f>
        <v>0</v>
      </c>
      <c r="L34" s="76">
        <f>Bevételek!S459-Bevételek!S452-Bevételek!S451</f>
        <v>17832591</v>
      </c>
      <c r="M34" s="76">
        <f>Bevételek!T459-Bevételek!T452-Bevételek!T451</f>
        <v>1132599361</v>
      </c>
      <c r="N34" s="76">
        <f>Bevételek!U459</f>
        <v>0</v>
      </c>
      <c r="O34" s="76">
        <f>Bevételek!V459</f>
        <v>0</v>
      </c>
      <c r="P34" s="76">
        <f>Bevételek!W459-Bevételek!W452-Bevételek!W451-Bevételek!W454-Bevételek!W455</f>
        <v>7530176</v>
      </c>
      <c r="Q34" s="76">
        <f>Bevételek!X459-Bevételek!X452-Bevételek!X451-Bevételek!X454-Bevételek!X455</f>
        <v>0</v>
      </c>
      <c r="R34" s="76">
        <f>Bevételek!Y459-Bevételek!Y452-Bevételek!Y451-Bevételek!Y454-Bevételek!Y455</f>
        <v>0</v>
      </c>
      <c r="S34" s="76">
        <f>Bevételek!Z459-Bevételek!Z452-Bevételek!Z451-Bevételek!Z454-Bevételek!Z455</f>
        <v>7530176</v>
      </c>
      <c r="T34" s="76">
        <f>Bevételek!AA459-Bevételek!AA452-Bevételek!AA451-Bevételek!AA454-Bevételek!AA455</f>
        <v>1140129537</v>
      </c>
      <c r="U34" s="76">
        <f>Bevételek!AB459-Bevételek!AB452-Bevételek!AB451-Bevételek!AB454-Bevételek!AB455</f>
        <v>0</v>
      </c>
      <c r="V34" s="76">
        <f>Bevételek!AC459-Bevételek!AC452-Bevételek!AC451-Bevételek!AC454-Bevételek!AC455</f>
        <v>0</v>
      </c>
      <c r="W34" s="76">
        <f>Bevételek!AD459-Bevételek!AD452-Bevételek!AD451-Bevételek!AD454-Bevételek!AD455-Bevételek!AD457</f>
        <v>-115226518</v>
      </c>
      <c r="X34" s="76">
        <f>Bevételek!AE459-Bevételek!AE452-Bevételek!AE451-Bevételek!AE454-Bevételek!AE455-Bevételek!AE457</f>
        <v>0</v>
      </c>
      <c r="Y34" s="76">
        <f>Bevételek!AF459-Bevételek!AF452-Bevételek!AF451-Bevételek!AF454-Bevételek!AF455-Bevételek!AF457</f>
        <v>0</v>
      </c>
      <c r="Z34" s="76">
        <f>Bevételek!AG459-Bevételek!AG452-Bevételek!AG451-Bevételek!AG454-Bevételek!AG455-Bevételek!AG457</f>
        <v>-115226518</v>
      </c>
      <c r="AA34" s="76">
        <f>Bevételek!AH459-Bevételek!AH452-Bevételek!AH451-Bevételek!AH454-Bevételek!AH455-Bevételek!AH457</f>
        <v>1024903019</v>
      </c>
      <c r="AB34" s="76">
        <f>Bevételek!AI459-Bevételek!AI452-Bevételek!AI451-Bevételek!AI454-Bevételek!AI455-Bevételek!AI457</f>
        <v>1024903019</v>
      </c>
      <c r="AC34" s="831">
        <f t="shared" si="25"/>
        <v>100</v>
      </c>
      <c r="AD34" s="182" t="s">
        <v>12</v>
      </c>
      <c r="AE34" s="80">
        <v>5</v>
      </c>
      <c r="AF34" s="152">
        <f>Kiadások!J2234</f>
        <v>309258909</v>
      </c>
      <c r="AG34" s="152">
        <f>Kiadások!K2234</f>
        <v>701562838</v>
      </c>
      <c r="AH34" s="152">
        <f>Kiadások!L2234</f>
        <v>1010821747</v>
      </c>
      <c r="AI34" s="152">
        <f>Kiadások!M2234</f>
        <v>178049369</v>
      </c>
      <c r="AJ34" s="152">
        <f>Kiadások!N2234</f>
        <v>110324521</v>
      </c>
      <c r="AK34" s="152">
        <f>Kiadások!O2234</f>
        <v>-81229136</v>
      </c>
      <c r="AL34" s="152">
        <f>Kiadások!P2234</f>
        <v>4526466</v>
      </c>
      <c r="AM34" s="152">
        <f>Kiadások!Q2234</f>
        <v>-151269701</v>
      </c>
      <c r="AN34" s="152">
        <f>Kiadások!R2234</f>
        <v>0</v>
      </c>
      <c r="AO34" s="152">
        <f>Kiadások!S2234</f>
        <v>60401519</v>
      </c>
      <c r="AP34" s="152">
        <f>Kiadások!T2234</f>
        <v>1071223266</v>
      </c>
      <c r="AQ34" s="152">
        <f>Kiadások!U2234</f>
        <v>100193714</v>
      </c>
      <c r="AR34" s="152">
        <f>Kiadások!V2234</f>
        <v>-50314843</v>
      </c>
      <c r="AS34" s="152">
        <f>Kiadások!W2234</f>
        <v>0</v>
      </c>
      <c r="AT34" s="152">
        <f>Kiadások!X2234</f>
        <v>-268379670</v>
      </c>
      <c r="AU34" s="152">
        <f>Kiadások!Y2234</f>
        <v>0</v>
      </c>
      <c r="AV34" s="152">
        <f>Kiadások!Z2234</f>
        <v>-218500799</v>
      </c>
      <c r="AW34" s="152">
        <f>Kiadások!AA2234</f>
        <v>852722467</v>
      </c>
      <c r="AX34" s="152">
        <f>Kiadások!AB2234</f>
        <v>50327197</v>
      </c>
      <c r="AY34" s="152">
        <f>Kiadások!AC2234</f>
        <v>-55668822</v>
      </c>
      <c r="AZ34" s="152">
        <f>Kiadások!AD2234</f>
        <v>0</v>
      </c>
      <c r="BA34" s="152">
        <f>Kiadások!AE2234</f>
        <v>-239878954</v>
      </c>
      <c r="BB34" s="152">
        <f>Kiadások!AF2234</f>
        <v>0</v>
      </c>
      <c r="BC34" s="152">
        <f>Kiadások!AG2234</f>
        <v>-245220579</v>
      </c>
      <c r="BD34" s="152">
        <f>Kiadások!AH2234</f>
        <v>607501888</v>
      </c>
      <c r="BE34" s="152">
        <f>Kiadások!AI2234</f>
        <v>0</v>
      </c>
      <c r="BF34" s="848">
        <f t="shared" ref="BF34" si="29">BE34/BD34*100</f>
        <v>0</v>
      </c>
    </row>
    <row r="35" spans="1:58">
      <c r="A35" s="72" t="s">
        <v>242</v>
      </c>
      <c r="B35" s="73">
        <v>2</v>
      </c>
      <c r="C35" s="81"/>
      <c r="D35" s="76">
        <f>Bevételek!K462+Bevételek!K464+Bevételek!K465+Bevételek!K466+Bevételek!K467+Bevételek!K468+Bevételek!K469+Bevételek!K470+Bevételek!K471+Bevételek!K472+Bevételek!K473+Bevételek!K474+Bevételek!K475+Bevételek!K476+Bevételek!K477+Bevételek!K478+Bevételek!K479+Bevételek!K480+Bevételek!K481+Bevételek!K482+Bevételek!K483</f>
        <v>2411221935</v>
      </c>
      <c r="E35" s="76">
        <f>Bevételek!L462+Bevételek!L464+Bevételek!L465+Bevételek!L466+Bevételek!L467+Bevételek!L468+Bevételek!L469+Bevételek!L470+Bevételek!L471+Bevételek!L472+Bevételek!L473+Bevételek!L474+Bevételek!L475+Bevételek!L476+Bevételek!L477+Bevételek!L478+Bevételek!L479+Bevételek!L480+Bevételek!L481+Bevételek!L482+Bevételek!L483</f>
        <v>2411221935</v>
      </c>
      <c r="F35" s="76">
        <f>Bevételek!M462+Bevételek!M464+Bevételek!M465+Bevételek!M466+Bevételek!M467+Bevételek!M468+Bevételek!M469+Bevételek!M470+Bevételek!M471+Bevételek!M472+Bevételek!M473+Bevételek!M474+Bevételek!M475+Bevételek!M476+Bevételek!M477+Bevételek!M478+Bevételek!M479+Bevételek!M480+Bevételek!M481+Bevételek!M482+Bevételek!M483</f>
        <v>0</v>
      </c>
      <c r="G35" s="76">
        <f>Bevételek!N462+Bevételek!N464+Bevételek!N465+Bevételek!N466+Bevételek!N467+Bevételek!N468+Bevételek!N469+Bevételek!N470+Bevételek!N471+Bevételek!N472+Bevételek!N473+Bevételek!N474+Bevételek!N475+Bevételek!N476+Bevételek!N477+Bevételek!N478+Bevételek!N479+Bevételek!N480+Bevételek!N481+Bevételek!N482+Bevételek!N483</f>
        <v>0</v>
      </c>
      <c r="H35" s="76">
        <f>Bevételek!O462+Bevételek!O464+Bevételek!O465+Bevételek!O466+Bevételek!O467+Bevételek!O468+Bevételek!O469+Bevételek!O470+Bevételek!O471+Bevételek!O472+Bevételek!O473+Bevételek!O474+Bevételek!O475+Bevételek!O476+Bevételek!O477+Bevételek!O478+Bevételek!O479+Bevételek!O480+Bevételek!O481+Bevételek!O482+Bevételek!O483</f>
        <v>0</v>
      </c>
      <c r="I35" s="76">
        <f>Bevételek!P462+Bevételek!P464+Bevételek!P465+Bevételek!P466+Bevételek!P467+Bevételek!P468+Bevételek!P469+Bevételek!P470+Bevételek!P471+Bevételek!P472+Bevételek!P473+Bevételek!P474+Bevételek!P475+Bevételek!P476+Bevételek!P477+Bevételek!P478+Bevételek!P479+Bevételek!P480+Bevételek!P481+Bevételek!P482+Bevételek!P483+Bevételek!P484</f>
        <v>1500000</v>
      </c>
      <c r="J35" s="76">
        <f>Bevételek!Q462+Bevételek!Q464+Bevételek!Q465+Bevételek!Q466+Bevételek!Q467+Bevételek!Q468+Bevételek!Q469+Bevételek!Q470+Bevételek!Q471+Bevételek!Q472+Bevételek!Q473+Bevételek!Q474+Bevételek!Q475+Bevételek!Q476+Bevételek!Q477+Bevételek!Q478+Bevételek!Q479+Bevételek!Q480+Bevételek!Q481+Bevételek!Q482+Bevételek!Q483+Bevételek!Q484</f>
        <v>0</v>
      </c>
      <c r="K35" s="76">
        <f>Bevételek!R462+Bevételek!R464+Bevételek!R465+Bevételek!R466+Bevételek!R467+Bevételek!R468+Bevételek!R469+Bevételek!R470+Bevételek!R471+Bevételek!R472+Bevételek!R473+Bevételek!R474+Bevételek!R475+Bevételek!R476+Bevételek!R477+Bevételek!R478+Bevételek!R479+Bevételek!R480+Bevételek!R481+Bevételek!R482+Bevételek!R483+Bevételek!R484</f>
        <v>0</v>
      </c>
      <c r="L35" s="76">
        <f>Bevételek!S462+Bevételek!S464+Bevételek!S465+Bevételek!S466+Bevételek!S467+Bevételek!S468+Bevételek!S469+Bevételek!S470+Bevételek!S471+Bevételek!S472+Bevételek!S473+Bevételek!S474+Bevételek!S475+Bevételek!S476+Bevételek!S477+Bevételek!S478+Bevételek!S479+Bevételek!S480+Bevételek!S481+Bevételek!S482+Bevételek!S483+Bevételek!S484</f>
        <v>1500000</v>
      </c>
      <c r="M35" s="76">
        <f>Bevételek!T462+Bevételek!T464+Bevételek!T465+Bevételek!T466+Bevételek!T467+Bevételek!T468+Bevételek!T469+Bevételek!T470+Bevételek!T471+Bevételek!T472+Bevételek!T473+Bevételek!T474+Bevételek!T475+Bevételek!T476+Bevételek!T477+Bevételek!T478+Bevételek!T479+Bevételek!T480+Bevételek!T481+Bevételek!T482+Bevételek!T483+Bevételek!T484</f>
        <v>2412721935</v>
      </c>
      <c r="N35" s="76">
        <f>Bevételek!U462+Bevételek!U464+Bevételek!U465+Bevételek!U466+Bevételek!U467+Bevételek!U468+Bevételek!U469+Bevételek!U470+Bevételek!U471+Bevételek!U472+Bevételek!U473+Bevételek!U474+Bevételek!U475+Bevételek!U476+Bevételek!U477+Bevételek!U478+Bevételek!U479+Bevételek!U480+Bevételek!U481+Bevételek!U482+Bevételek!U483+Bevételek!U484+Bevételek!U485</f>
        <v>0</v>
      </c>
      <c r="O35" s="76">
        <f>Bevételek!V462+Bevételek!V464+Bevételek!V465+Bevételek!V466+Bevételek!V467+Bevételek!V468+Bevételek!V469+Bevételek!V470+Bevételek!V471+Bevételek!V472+Bevételek!V473+Bevételek!V474+Bevételek!V475+Bevételek!V476+Bevételek!V477+Bevételek!V478+Bevételek!V479+Bevételek!V480+Bevételek!V481+Bevételek!V482+Bevételek!V483+Bevételek!V484+Bevételek!V485</f>
        <v>0</v>
      </c>
      <c r="P35" s="76">
        <f>Bevételek!W462+Bevételek!W464+Bevételek!W465+Bevételek!W466+Bevételek!W467+Bevételek!W468+Bevételek!W469+Bevételek!W470+Bevételek!W471+Bevételek!W472+Bevételek!W473+Bevételek!W474+Bevételek!W475+Bevételek!W476+Bevételek!W477+Bevételek!W478+Bevételek!W479+Bevételek!W480+Bevételek!W481+Bevételek!W482+Bevételek!W483+Bevételek!W484+Bevételek!W485</f>
        <v>5515638</v>
      </c>
      <c r="Q35" s="76">
        <f>Bevételek!X462+Bevételek!X464+Bevételek!X465+Bevételek!X466+Bevételek!X467+Bevételek!X468+Bevételek!X469+Bevételek!X470+Bevételek!X471+Bevételek!X472+Bevételek!X473+Bevételek!X474+Bevételek!X475+Bevételek!X476+Bevételek!X477+Bevételek!X478+Bevételek!X479+Bevételek!X480+Bevételek!X481+Bevételek!X482+Bevételek!X483+Bevételek!X484+Bevételek!X485</f>
        <v>0</v>
      </c>
      <c r="R35" s="76">
        <f>Bevételek!Y462+Bevételek!Y464+Bevételek!Y465+Bevételek!Y466+Bevételek!Y467+Bevételek!Y468+Bevételek!Y469+Bevételek!Y470+Bevételek!Y471+Bevételek!Y472+Bevételek!Y473+Bevételek!Y474+Bevételek!Y475+Bevételek!Y476+Bevételek!Y477+Bevételek!Y478+Bevételek!Y479+Bevételek!Y480+Bevételek!Y481+Bevételek!Y482+Bevételek!Y483+Bevételek!Y484+Bevételek!Y485</f>
        <v>0</v>
      </c>
      <c r="S35" s="76">
        <f>Bevételek!Z462+Bevételek!Z464+Bevételek!Z465+Bevételek!Z466+Bevételek!Z467+Bevételek!Z468+Bevételek!Z469+Bevételek!Z470+Bevételek!Z471+Bevételek!Z472+Bevételek!Z473+Bevételek!Z474+Bevételek!Z475+Bevételek!Z476+Bevételek!Z477+Bevételek!Z478+Bevételek!Z479+Bevételek!Z480+Bevételek!Z481+Bevételek!Z482+Bevételek!Z483+Bevételek!Z484+Bevételek!Z485</f>
        <v>5515638</v>
      </c>
      <c r="T35" s="76">
        <f>Bevételek!AA462+Bevételek!AA464+Bevételek!AA465+Bevételek!AA466+Bevételek!AA467+Bevételek!AA468+Bevételek!AA469+Bevételek!AA470+Bevételek!AA471+Bevételek!AA472+Bevételek!AA473+Bevételek!AA474+Bevételek!AA475+Bevételek!AA476+Bevételek!AA477+Bevételek!AA478+Bevételek!AA479+Bevételek!AA480+Bevételek!AA481+Bevételek!AA482+Bevételek!AA483+Bevételek!AA484+Bevételek!AA485</f>
        <v>2418237573</v>
      </c>
      <c r="U35" s="76">
        <f>Bevételek!AB462+Bevételek!AB464+Bevételek!AB465+Bevételek!AB466+Bevételek!AB467+Bevételek!AB468+Bevételek!AB469+Bevételek!AB470+Bevételek!AB471+Bevételek!AB472+Bevételek!AB473+Bevételek!AB474+Bevételek!AB475+Bevételek!AB476+Bevételek!AB477+Bevételek!AB478+Bevételek!AB479+Bevételek!AB480+Bevételek!AB481+Bevételek!AB482+Bevételek!AB483+Bevételek!AB484+Bevételek!AB485</f>
        <v>0</v>
      </c>
      <c r="V35" s="76">
        <f>Bevételek!AC462+Bevételek!AC464+Bevételek!AC465+Bevételek!AC466+Bevételek!AC467+Bevételek!AC468+Bevételek!AC469+Bevételek!AC470+Bevételek!AC471+Bevételek!AC472+Bevételek!AC473+Bevételek!AC474+Bevételek!AC475+Bevételek!AC476+Bevételek!AC477+Bevételek!AC478+Bevételek!AC479+Bevételek!AC480+Bevételek!AC481+Bevételek!AC482+Bevételek!AC483+Bevételek!AC484+Bevételek!AC485</f>
        <v>0</v>
      </c>
      <c r="W35" s="76">
        <f>Bevételek!AD462+Bevételek!AD464+Bevételek!AD465+Bevételek!AD466+Bevételek!AD467+Bevételek!AD468+Bevételek!AD469+Bevételek!AD470+Bevételek!AD471+Bevételek!AD472+Bevételek!AD473+Bevételek!AD474+Bevételek!AD475+Bevételek!AD476+Bevételek!AD477+Bevételek!AD478+Bevételek!AD479+Bevételek!AD480+Bevételek!AD481+Bevételek!AD482+Bevételek!AD483+Bevételek!AD484+Bevételek!AD485</f>
        <v>-904113913</v>
      </c>
      <c r="X35" s="76">
        <f>Bevételek!AE462+Bevételek!AE464+Bevételek!AE465+Bevételek!AE466+Bevételek!AE467+Bevételek!AE468+Bevételek!AE469+Bevételek!AE470+Bevételek!AE471+Bevételek!AE472+Bevételek!AE473+Bevételek!AE474+Bevételek!AE475+Bevételek!AE476+Bevételek!AE477+Bevételek!AE478+Bevételek!AE479+Bevételek!AE480+Bevételek!AE481+Bevételek!AE482+Bevételek!AE483+Bevételek!AE484+Bevételek!AE485</f>
        <v>0</v>
      </c>
      <c r="Y35" s="76">
        <f>Bevételek!AF462+Bevételek!AF464+Bevételek!AF465+Bevételek!AF466+Bevételek!AF467+Bevételek!AF468+Bevételek!AF469+Bevételek!AF470+Bevételek!AF471+Bevételek!AF472+Bevételek!AF473+Bevételek!AF474+Bevételek!AF475+Bevételek!AF476+Bevételek!AF477+Bevételek!AF478+Bevételek!AF479+Bevételek!AF480+Bevételek!AF481+Bevételek!AF482+Bevételek!AF483+Bevételek!AF484+Bevételek!AF485</f>
        <v>0</v>
      </c>
      <c r="Z35" s="76">
        <f>Bevételek!AG462+Bevételek!AG464+Bevételek!AG465+Bevételek!AG466+Bevételek!AG467+Bevételek!AG468+Bevételek!AG469+Bevételek!AG470+Bevételek!AG471+Bevételek!AG472+Bevételek!AG473+Bevételek!AG474+Bevételek!AG475+Bevételek!AG476+Bevételek!AG477+Bevételek!AG478+Bevételek!AG479+Bevételek!AG480+Bevételek!AG481+Bevételek!AG482+Bevételek!AG483+Bevételek!AG484+Bevételek!AG485</f>
        <v>-904113913</v>
      </c>
      <c r="AA35" s="76">
        <f>Bevételek!AH462+Bevételek!AH464+Bevételek!AH465+Bevételek!AH466+Bevételek!AH467+Bevételek!AH468+Bevételek!AH469+Bevételek!AH470+Bevételek!AH471+Bevételek!AH472+Bevételek!AH473+Bevételek!AH474+Bevételek!AH475+Bevételek!AH476+Bevételek!AH477+Bevételek!AH478+Bevételek!AH479+Bevételek!AH480+Bevételek!AH481+Bevételek!AH482+Bevételek!AH483+Bevételek!AH484+Bevételek!AH485</f>
        <v>1514123660</v>
      </c>
      <c r="AB35" s="76">
        <f>Bevételek!AI462+Bevételek!AI464+Bevételek!AI465+Bevételek!AI466+Bevételek!AI467+Bevételek!AI468+Bevételek!AI469+Bevételek!AI470+Bevételek!AI471+Bevételek!AI472+Bevételek!AI473+Bevételek!AI474+Bevételek!AI475+Bevételek!AI476+Bevételek!AI477+Bevételek!AI478+Bevételek!AI479+Bevételek!AI480+Bevételek!AI481+Bevételek!AI482+Bevételek!AI483+Bevételek!AI484+Bevételek!AI485</f>
        <v>1514123660</v>
      </c>
      <c r="AC35" s="831">
        <f t="shared" si="25"/>
        <v>100</v>
      </c>
      <c r="AD35" s="182"/>
      <c r="AE35" s="80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850"/>
    </row>
    <row r="36" spans="1:58">
      <c r="A36" s="72" t="s">
        <v>243</v>
      </c>
      <c r="B36" s="73">
        <v>2</v>
      </c>
      <c r="C36" s="76"/>
      <c r="D36" s="76">
        <f>Bevételek!K495</f>
        <v>3252364000</v>
      </c>
      <c r="E36" s="76">
        <f>Bevételek!L495</f>
        <v>3252364000</v>
      </c>
      <c r="F36" s="76">
        <f>Bevételek!M495</f>
        <v>0</v>
      </c>
      <c r="G36" s="76">
        <f>Bevételek!N495</f>
        <v>0</v>
      </c>
      <c r="H36" s="76">
        <f>Bevételek!O495</f>
        <v>0</v>
      </c>
      <c r="I36" s="76">
        <f>Bevételek!P495</f>
        <v>0</v>
      </c>
      <c r="J36" s="76">
        <f>Bevételek!Q495</f>
        <v>0</v>
      </c>
      <c r="K36" s="76">
        <f>Bevételek!R495</f>
        <v>0</v>
      </c>
      <c r="L36" s="76">
        <f>Bevételek!S495</f>
        <v>0</v>
      </c>
      <c r="M36" s="76">
        <f>Bevételek!T495</f>
        <v>3252364000</v>
      </c>
      <c r="N36" s="76">
        <f>Bevételek!U495</f>
        <v>0</v>
      </c>
      <c r="O36" s="76">
        <f>Bevételek!V495</f>
        <v>0</v>
      </c>
      <c r="P36" s="76">
        <f>Bevételek!W495</f>
        <v>0</v>
      </c>
      <c r="Q36" s="76">
        <f>Bevételek!X495</f>
        <v>0</v>
      </c>
      <c r="R36" s="76">
        <f>Bevételek!Y495</f>
        <v>0</v>
      </c>
      <c r="S36" s="76">
        <f>Bevételek!Z495</f>
        <v>0</v>
      </c>
      <c r="T36" s="76">
        <f>Bevételek!AA495</f>
        <v>3252364000</v>
      </c>
      <c r="U36" s="76">
        <f>Bevételek!AB495</f>
        <v>0</v>
      </c>
      <c r="V36" s="76">
        <f>Bevételek!AC495</f>
        <v>0</v>
      </c>
      <c r="W36" s="76">
        <f>Bevételek!AD495</f>
        <v>122508000</v>
      </c>
      <c r="X36" s="76">
        <f>Bevételek!AE495</f>
        <v>0</v>
      </c>
      <c r="Y36" s="76">
        <f>Bevételek!AF495</f>
        <v>0</v>
      </c>
      <c r="Z36" s="76">
        <f>Bevételek!AG495</f>
        <v>122508000</v>
      </c>
      <c r="AA36" s="76">
        <f>Bevételek!AH495</f>
        <v>3374872000</v>
      </c>
      <c r="AB36" s="76">
        <f>Bevételek!AI495</f>
        <v>3374872000</v>
      </c>
      <c r="AC36" s="831">
        <f t="shared" si="25"/>
        <v>100</v>
      </c>
      <c r="AD36" s="182" t="s">
        <v>529</v>
      </c>
      <c r="AE36" s="80">
        <v>5</v>
      </c>
      <c r="AF36" s="152">
        <f>Kiadások!J2284</f>
        <v>1521910</v>
      </c>
      <c r="AG36" s="152">
        <f>Kiadások!K2284</f>
        <v>0</v>
      </c>
      <c r="AH36" s="152">
        <f>Kiadások!L2284</f>
        <v>1521910</v>
      </c>
      <c r="AI36" s="152">
        <f>Kiadások!M2284</f>
        <v>17767862</v>
      </c>
      <c r="AJ36" s="152">
        <f>Kiadások!N2284</f>
        <v>0</v>
      </c>
      <c r="AK36" s="152">
        <f>Kiadások!O2284</f>
        <v>0</v>
      </c>
      <c r="AL36" s="152">
        <f>Kiadások!P2284</f>
        <v>0</v>
      </c>
      <c r="AM36" s="152">
        <f>Kiadások!Q2284</f>
        <v>227000</v>
      </c>
      <c r="AN36" s="152">
        <f>Kiadások!R2284</f>
        <v>0</v>
      </c>
      <c r="AO36" s="152">
        <f>Kiadások!S2284</f>
        <v>17994862</v>
      </c>
      <c r="AP36" s="152">
        <f>Kiadások!T2284</f>
        <v>19516772</v>
      </c>
      <c r="AQ36" s="152">
        <f>Kiadások!U2284</f>
        <v>0</v>
      </c>
      <c r="AR36" s="152">
        <f>Kiadások!V2284</f>
        <v>0</v>
      </c>
      <c r="AS36" s="152">
        <f>Kiadások!W2284</f>
        <v>0</v>
      </c>
      <c r="AT36" s="152">
        <f>Kiadások!X2284</f>
        <v>0</v>
      </c>
      <c r="AU36" s="152">
        <f>Kiadások!Y2284</f>
        <v>0</v>
      </c>
      <c r="AV36" s="152">
        <f>Kiadások!Z2284</f>
        <v>0</v>
      </c>
      <c r="AW36" s="152">
        <f>Kiadások!AA2284</f>
        <v>19516772</v>
      </c>
      <c r="AX36" s="152">
        <f>Kiadások!AB2284</f>
        <v>0</v>
      </c>
      <c r="AY36" s="152">
        <f>Kiadások!AC2284</f>
        <v>0</v>
      </c>
      <c r="AZ36" s="152">
        <f>Kiadások!AD2284</f>
        <v>0</v>
      </c>
      <c r="BA36" s="152">
        <f>Kiadások!AE2284</f>
        <v>68</v>
      </c>
      <c r="BB36" s="152">
        <f>Kiadások!AF2284</f>
        <v>0</v>
      </c>
      <c r="BC36" s="152">
        <f>Kiadások!AG2284</f>
        <v>68</v>
      </c>
      <c r="BD36" s="152">
        <f>Kiadások!AH2284</f>
        <v>19516840</v>
      </c>
      <c r="BE36" s="152">
        <f>Kiadások!AI2284</f>
        <v>19516840</v>
      </c>
      <c r="BF36" s="848">
        <f t="shared" ref="BF36" si="30">BE36/BD36*100</f>
        <v>100</v>
      </c>
    </row>
    <row r="37" spans="1:58">
      <c r="A37" s="77" t="s">
        <v>349</v>
      </c>
      <c r="B37" s="78"/>
      <c r="C37" s="81">
        <f>SUM(C33:C36)</f>
        <v>1544212915</v>
      </c>
      <c r="D37" s="81">
        <f>SUM(D33:D36)</f>
        <v>5663585935</v>
      </c>
      <c r="E37" s="81">
        <f>SUM(E33:E36)</f>
        <v>7207798850</v>
      </c>
      <c r="F37" s="81">
        <f t="shared" ref="F37:L37" si="31">SUM(F33:F36)</f>
        <v>0</v>
      </c>
      <c r="G37" s="81">
        <f t="shared" si="31"/>
        <v>0</v>
      </c>
      <c r="H37" s="81">
        <f t="shared" si="31"/>
        <v>0</v>
      </c>
      <c r="I37" s="81">
        <f t="shared" si="31"/>
        <v>20157791</v>
      </c>
      <c r="J37" s="81">
        <f t="shared" si="31"/>
        <v>0</v>
      </c>
      <c r="K37" s="81">
        <f t="shared" si="31"/>
        <v>0</v>
      </c>
      <c r="L37" s="81">
        <f t="shared" si="31"/>
        <v>20157791</v>
      </c>
      <c r="M37" s="81">
        <f t="shared" ref="M37:S37" si="32">SUM(M33:M36)</f>
        <v>7227956641</v>
      </c>
      <c r="N37" s="81">
        <f t="shared" si="32"/>
        <v>0</v>
      </c>
      <c r="O37" s="81">
        <f t="shared" si="32"/>
        <v>0</v>
      </c>
      <c r="P37" s="81">
        <f t="shared" si="32"/>
        <v>45791164</v>
      </c>
      <c r="Q37" s="81">
        <f t="shared" si="32"/>
        <v>0</v>
      </c>
      <c r="R37" s="81">
        <f t="shared" si="32"/>
        <v>0</v>
      </c>
      <c r="S37" s="81">
        <f t="shared" si="32"/>
        <v>45791164</v>
      </c>
      <c r="T37" s="81">
        <f t="shared" ref="T37:AB37" si="33">SUM(T33:T36)</f>
        <v>7273747805</v>
      </c>
      <c r="U37" s="81">
        <f t="shared" si="33"/>
        <v>0</v>
      </c>
      <c r="V37" s="81">
        <f t="shared" si="33"/>
        <v>0</v>
      </c>
      <c r="W37" s="81">
        <f t="shared" si="33"/>
        <v>-906552138</v>
      </c>
      <c r="X37" s="81">
        <f t="shared" si="33"/>
        <v>0</v>
      </c>
      <c r="Y37" s="81">
        <f t="shared" si="33"/>
        <v>0</v>
      </c>
      <c r="Z37" s="81">
        <f t="shared" si="33"/>
        <v>-906552138</v>
      </c>
      <c r="AA37" s="81">
        <f t="shared" si="33"/>
        <v>6367195667</v>
      </c>
      <c r="AB37" s="81">
        <f t="shared" si="33"/>
        <v>6367195667</v>
      </c>
      <c r="AC37" s="844">
        <f t="shared" si="25"/>
        <v>100</v>
      </c>
      <c r="AD37" s="182"/>
      <c r="AE37" s="153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848"/>
    </row>
    <row r="38" spans="1:58">
      <c r="A38" s="72" t="s">
        <v>244</v>
      </c>
      <c r="B38" s="73">
        <v>6</v>
      </c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844"/>
      <c r="AD38" s="182"/>
      <c r="AE38" s="153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850"/>
    </row>
    <row r="39" spans="1:58">
      <c r="A39" s="72" t="s">
        <v>245</v>
      </c>
      <c r="B39" s="73">
        <v>6</v>
      </c>
      <c r="C39" s="76">
        <f>Bevételek!J508</f>
        <v>0</v>
      </c>
      <c r="D39" s="76"/>
      <c r="E39" s="76">
        <f>Bevételek!L508</f>
        <v>0</v>
      </c>
      <c r="F39" s="76">
        <f>Bevételek!M508</f>
        <v>0</v>
      </c>
      <c r="G39" s="76">
        <f>Bevételek!N508</f>
        <v>0</v>
      </c>
      <c r="H39" s="76">
        <f>Bevételek!O508</f>
        <v>0</v>
      </c>
      <c r="I39" s="76">
        <f>Bevételek!P508</f>
        <v>30000</v>
      </c>
      <c r="J39" s="76">
        <f>Bevételek!Q508</f>
        <v>0</v>
      </c>
      <c r="K39" s="76">
        <f>Bevételek!R508</f>
        <v>0</v>
      </c>
      <c r="L39" s="76">
        <f>Bevételek!S508</f>
        <v>30000</v>
      </c>
      <c r="M39" s="76">
        <f>Bevételek!T508</f>
        <v>30000</v>
      </c>
      <c r="N39" s="76">
        <f>Bevételek!U508</f>
        <v>0</v>
      </c>
      <c r="O39" s="76">
        <f>Bevételek!V508</f>
        <v>0</v>
      </c>
      <c r="P39" s="76">
        <f>Bevételek!W504</f>
        <v>38960</v>
      </c>
      <c r="Q39" s="76">
        <f>Bevételek!X504</f>
        <v>0</v>
      </c>
      <c r="R39" s="76">
        <f>Bevételek!Y504</f>
        <v>0</v>
      </c>
      <c r="S39" s="76">
        <f>Bevételek!Z504</f>
        <v>38960</v>
      </c>
      <c r="T39" s="76">
        <f>Bevételek!AA504</f>
        <v>68960</v>
      </c>
      <c r="U39" s="76">
        <f>Bevételek!AB504</f>
        <v>0</v>
      </c>
      <c r="V39" s="76">
        <f>Bevételek!AC504</f>
        <v>0</v>
      </c>
      <c r="W39" s="76">
        <f>Bevételek!AD504</f>
        <v>0</v>
      </c>
      <c r="X39" s="76">
        <f>Bevételek!AE504</f>
        <v>0</v>
      </c>
      <c r="Y39" s="76">
        <f>Bevételek!AF504</f>
        <v>0</v>
      </c>
      <c r="Z39" s="76">
        <f>Bevételek!AG504</f>
        <v>0</v>
      </c>
      <c r="AA39" s="76">
        <f>Bevételek!AH504</f>
        <v>68960</v>
      </c>
      <c r="AB39" s="76">
        <f>Bevételek!AI504</f>
        <v>62360</v>
      </c>
      <c r="AC39" s="831">
        <f t="shared" si="25"/>
        <v>90.429234338747094</v>
      </c>
      <c r="AD39" s="182"/>
      <c r="AE39" s="153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850"/>
    </row>
    <row r="40" spans="1:58">
      <c r="A40" s="72" t="s">
        <v>247</v>
      </c>
      <c r="B40" s="73">
        <v>7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44"/>
      <c r="AD40" s="182"/>
      <c r="AE40" s="153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848"/>
    </row>
    <row r="41" spans="1:58">
      <c r="A41" s="72" t="s">
        <v>246</v>
      </c>
      <c r="B41" s="73">
        <v>7</v>
      </c>
      <c r="C41" s="76"/>
      <c r="D41" s="76">
        <f>Bevételek!K518</f>
        <v>0</v>
      </c>
      <c r="E41" s="76">
        <f>Bevételek!L518</f>
        <v>0</v>
      </c>
      <c r="F41" s="76">
        <f>Bevételek!M518</f>
        <v>0</v>
      </c>
      <c r="G41" s="76">
        <f>Bevételek!N518</f>
        <v>0</v>
      </c>
      <c r="H41" s="76">
        <f>Bevételek!O518</f>
        <v>0</v>
      </c>
      <c r="I41" s="76">
        <f>Bevételek!P518</f>
        <v>686340</v>
      </c>
      <c r="J41" s="76">
        <f>Bevételek!Q518</f>
        <v>0</v>
      </c>
      <c r="K41" s="76">
        <f>Bevételek!R518</f>
        <v>0</v>
      </c>
      <c r="L41" s="76">
        <f>Bevételek!S518</f>
        <v>686340</v>
      </c>
      <c r="M41" s="76">
        <f>Bevételek!T518</f>
        <v>686340</v>
      </c>
      <c r="N41" s="76">
        <f>Bevételek!U518</f>
        <v>0</v>
      </c>
      <c r="O41" s="76">
        <f>Bevételek!V518</f>
        <v>0</v>
      </c>
      <c r="P41" s="76">
        <f>Bevételek!W518</f>
        <v>0</v>
      </c>
      <c r="Q41" s="76">
        <f>Bevételek!X518</f>
        <v>0</v>
      </c>
      <c r="R41" s="76">
        <f>Bevételek!Y518</f>
        <v>0</v>
      </c>
      <c r="S41" s="76">
        <f>Bevételek!Z518</f>
        <v>0</v>
      </c>
      <c r="T41" s="76">
        <f>Bevételek!AA515</f>
        <v>686340</v>
      </c>
      <c r="U41" s="76">
        <f>Bevételek!AB515</f>
        <v>0</v>
      </c>
      <c r="V41" s="76">
        <f>Bevételek!AC515</f>
        <v>0</v>
      </c>
      <c r="W41" s="76">
        <f>Bevételek!AD515</f>
        <v>0</v>
      </c>
      <c r="X41" s="76">
        <f>Bevételek!AE515</f>
        <v>0</v>
      </c>
      <c r="Y41" s="76">
        <f>Bevételek!AF515</f>
        <v>0</v>
      </c>
      <c r="Z41" s="76">
        <f>Bevételek!AG515</f>
        <v>0</v>
      </c>
      <c r="AA41" s="76">
        <f>Bevételek!AH515</f>
        <v>686340</v>
      </c>
      <c r="AB41" s="76">
        <f>Bevételek!AI515</f>
        <v>686340</v>
      </c>
      <c r="AC41" s="831">
        <f t="shared" si="25"/>
        <v>100</v>
      </c>
      <c r="AD41" s="182"/>
      <c r="AE41" s="153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850"/>
    </row>
    <row r="42" spans="1:58">
      <c r="A42" s="77" t="s">
        <v>263</v>
      </c>
      <c r="B42" s="78"/>
      <c r="C42" s="81">
        <f>SUM(C38:C41)</f>
        <v>0</v>
      </c>
      <c r="D42" s="81">
        <f>SUM(D38:D41)</f>
        <v>0</v>
      </c>
      <c r="E42" s="81">
        <f>SUM(E38:E41)</f>
        <v>0</v>
      </c>
      <c r="F42" s="81">
        <f t="shared" ref="F42:L42" si="34">SUM(F38:F41)</f>
        <v>0</v>
      </c>
      <c r="G42" s="81">
        <f t="shared" si="34"/>
        <v>0</v>
      </c>
      <c r="H42" s="81">
        <f t="shared" si="34"/>
        <v>0</v>
      </c>
      <c r="I42" s="81">
        <f t="shared" si="34"/>
        <v>716340</v>
      </c>
      <c r="J42" s="81">
        <f t="shared" si="34"/>
        <v>0</v>
      </c>
      <c r="K42" s="81">
        <f t="shared" si="34"/>
        <v>0</v>
      </c>
      <c r="L42" s="81">
        <f t="shared" si="34"/>
        <v>716340</v>
      </c>
      <c r="M42" s="81">
        <f t="shared" ref="M42:S42" si="35">SUM(M38:M41)</f>
        <v>716340</v>
      </c>
      <c r="N42" s="81">
        <f t="shared" si="35"/>
        <v>0</v>
      </c>
      <c r="O42" s="81">
        <f t="shared" si="35"/>
        <v>0</v>
      </c>
      <c r="P42" s="81">
        <f t="shared" si="35"/>
        <v>38960</v>
      </c>
      <c r="Q42" s="81">
        <f t="shared" si="35"/>
        <v>0</v>
      </c>
      <c r="R42" s="81">
        <f t="shared" si="35"/>
        <v>0</v>
      </c>
      <c r="S42" s="81">
        <f t="shared" si="35"/>
        <v>38960</v>
      </c>
      <c r="T42" s="81">
        <f t="shared" ref="T42:AB42" si="36">SUM(T38:T41)</f>
        <v>755300</v>
      </c>
      <c r="U42" s="81">
        <f t="shared" si="36"/>
        <v>0</v>
      </c>
      <c r="V42" s="81">
        <f t="shared" si="36"/>
        <v>0</v>
      </c>
      <c r="W42" s="81">
        <f t="shared" si="36"/>
        <v>0</v>
      </c>
      <c r="X42" s="81">
        <f t="shared" si="36"/>
        <v>0</v>
      </c>
      <c r="Y42" s="81">
        <f t="shared" si="36"/>
        <v>0</v>
      </c>
      <c r="Z42" s="81">
        <f t="shared" si="36"/>
        <v>0</v>
      </c>
      <c r="AA42" s="81">
        <f t="shared" si="36"/>
        <v>755300</v>
      </c>
      <c r="AB42" s="81">
        <f t="shared" si="36"/>
        <v>748700</v>
      </c>
      <c r="AC42" s="844">
        <f t="shared" si="25"/>
        <v>99.126175029789493</v>
      </c>
      <c r="AD42" s="179"/>
      <c r="AE42" s="62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848"/>
    </row>
    <row r="43" spans="1:58">
      <c r="A43" s="77" t="s">
        <v>148</v>
      </c>
      <c r="B43" s="89" t="s">
        <v>320</v>
      </c>
      <c r="C43" s="81"/>
      <c r="D43" s="81">
        <f>Bevételek!K542</f>
        <v>16500000</v>
      </c>
      <c r="E43" s="81">
        <f>Bevételek!L542</f>
        <v>16500000</v>
      </c>
      <c r="F43" s="81">
        <f>Bevételek!M542</f>
        <v>0</v>
      </c>
      <c r="G43" s="81">
        <f>Bevételek!N542</f>
        <v>0</v>
      </c>
      <c r="H43" s="81">
        <f>Bevételek!O542</f>
        <v>0</v>
      </c>
      <c r="I43" s="81">
        <f>Bevételek!P542</f>
        <v>0</v>
      </c>
      <c r="J43" s="81">
        <f>Bevételek!Q542</f>
        <v>0</v>
      </c>
      <c r="K43" s="81">
        <f>Bevételek!R542</f>
        <v>0</v>
      </c>
      <c r="L43" s="81">
        <f>Bevételek!S542</f>
        <v>0</v>
      </c>
      <c r="M43" s="81">
        <f>Bevételek!T542</f>
        <v>16500000</v>
      </c>
      <c r="N43" s="81">
        <f>Bevételek!U542</f>
        <v>0</v>
      </c>
      <c r="O43" s="81">
        <f>Bevételek!V542</f>
        <v>0</v>
      </c>
      <c r="P43" s="81">
        <f>Bevételek!W542</f>
        <v>0</v>
      </c>
      <c r="Q43" s="81">
        <f>Bevételek!X542</f>
        <v>0</v>
      </c>
      <c r="R43" s="81">
        <f>Bevételek!Y542</f>
        <v>0</v>
      </c>
      <c r="S43" s="81">
        <f>Bevételek!Z542</f>
        <v>0</v>
      </c>
      <c r="T43" s="81">
        <f>Bevételek!AA542</f>
        <v>16500000</v>
      </c>
      <c r="U43" s="81">
        <f>Bevételek!AB542</f>
        <v>0</v>
      </c>
      <c r="V43" s="81">
        <f>Bevételek!AC542</f>
        <v>0</v>
      </c>
      <c r="W43" s="81">
        <f>Bevételek!AD542</f>
        <v>0</v>
      </c>
      <c r="X43" s="81">
        <f>Bevételek!AE542</f>
        <v>0</v>
      </c>
      <c r="Y43" s="81">
        <f>Bevételek!AF542</f>
        <v>0</v>
      </c>
      <c r="Z43" s="81">
        <f>Bevételek!AG542</f>
        <v>0</v>
      </c>
      <c r="AA43" s="81">
        <f>Bevételek!AH542</f>
        <v>16500000</v>
      </c>
      <c r="AB43" s="81">
        <f>Bevételek!AI542</f>
        <v>16614861</v>
      </c>
      <c r="AC43" s="844">
        <f t="shared" si="25"/>
        <v>100.69612727272728</v>
      </c>
      <c r="AD43" s="179"/>
      <c r="AE43" s="6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848"/>
    </row>
    <row r="44" spans="1:58">
      <c r="A44" s="90" t="s">
        <v>150</v>
      </c>
      <c r="B44" s="91"/>
      <c r="C44" s="81">
        <f>C43+C42+C37+C32+C28+C18</f>
        <v>8442980502</v>
      </c>
      <c r="D44" s="81">
        <f>D43+D42+D37+D32+D28+D18</f>
        <v>6186706500</v>
      </c>
      <c r="E44" s="81">
        <f>E43+E42+E37+E32+E28+E18</f>
        <v>14629687002</v>
      </c>
      <c r="F44" s="81">
        <f t="shared" ref="F44:L44" si="37">F43+F42+F37+F32+F28+F18</f>
        <v>838525434</v>
      </c>
      <c r="G44" s="81">
        <f t="shared" si="37"/>
        <v>123596701</v>
      </c>
      <c r="H44" s="81">
        <f t="shared" si="37"/>
        <v>149930314</v>
      </c>
      <c r="I44" s="81">
        <f t="shared" si="37"/>
        <v>20874131</v>
      </c>
      <c r="J44" s="81">
        <f t="shared" si="37"/>
        <v>0</v>
      </c>
      <c r="K44" s="81">
        <f t="shared" si="37"/>
        <v>240651215</v>
      </c>
      <c r="L44" s="81">
        <f t="shared" si="37"/>
        <v>1373577795</v>
      </c>
      <c r="M44" s="81">
        <f t="shared" ref="M44:S44" si="38">M43+M42+M37+M32+M28+M18</f>
        <v>15991228106</v>
      </c>
      <c r="N44" s="81">
        <f t="shared" si="38"/>
        <v>118437396</v>
      </c>
      <c r="O44" s="81">
        <f t="shared" si="38"/>
        <v>7764832</v>
      </c>
      <c r="P44" s="81">
        <f t="shared" si="38"/>
        <v>45830124</v>
      </c>
      <c r="Q44" s="81">
        <f t="shared" si="38"/>
        <v>0</v>
      </c>
      <c r="R44" s="81">
        <f t="shared" si="38"/>
        <v>216095062</v>
      </c>
      <c r="S44" s="81">
        <f t="shared" si="38"/>
        <v>388127414</v>
      </c>
      <c r="T44" s="81">
        <f t="shared" ref="T44:AB44" si="39">T43+T42+T37+T32+T28+T18</f>
        <v>16379355520</v>
      </c>
      <c r="U44" s="81">
        <f t="shared" si="39"/>
        <v>1253976129</v>
      </c>
      <c r="V44" s="81">
        <f t="shared" si="39"/>
        <v>139081430</v>
      </c>
      <c r="W44" s="81">
        <f t="shared" si="39"/>
        <v>-906552138</v>
      </c>
      <c r="X44" s="81">
        <f t="shared" si="39"/>
        <v>2749177</v>
      </c>
      <c r="Y44" s="81">
        <f t="shared" si="39"/>
        <v>76674623</v>
      </c>
      <c r="Z44" s="81">
        <f t="shared" si="39"/>
        <v>565929221</v>
      </c>
      <c r="AA44" s="81">
        <f t="shared" si="39"/>
        <v>16945284741</v>
      </c>
      <c r="AB44" s="81">
        <f t="shared" si="39"/>
        <v>16952279100</v>
      </c>
      <c r="AC44" s="844">
        <f t="shared" si="25"/>
        <v>100.04127613732614</v>
      </c>
      <c r="AD44" s="184" t="s">
        <v>184</v>
      </c>
      <c r="AE44" s="154"/>
      <c r="AF44" s="81">
        <f>SUM(AF18:AF37)</f>
        <v>13125304419.5</v>
      </c>
      <c r="AG44" s="81">
        <f t="shared" ref="AG44:AH44" si="40">SUM(AG18:AG37)</f>
        <v>23788024306</v>
      </c>
      <c r="AH44" s="81">
        <f t="shared" si="40"/>
        <v>36732943154</v>
      </c>
      <c r="AI44" s="81">
        <f t="shared" ref="AI44:AP44" si="41">SUM(AI18:AI37)</f>
        <v>1848675359</v>
      </c>
      <c r="AJ44" s="81">
        <f t="shared" si="41"/>
        <v>111560010</v>
      </c>
      <c r="AK44" s="81">
        <f t="shared" si="41"/>
        <v>156666314</v>
      </c>
      <c r="AL44" s="81">
        <f t="shared" si="41"/>
        <v>20187791</v>
      </c>
      <c r="AM44" s="81">
        <f t="shared" si="41"/>
        <v>-2131740</v>
      </c>
      <c r="AN44" s="81">
        <f t="shared" si="41"/>
        <v>240651215</v>
      </c>
      <c r="AO44" s="81">
        <f t="shared" si="41"/>
        <v>2375608949</v>
      </c>
      <c r="AP44" s="81">
        <f t="shared" si="41"/>
        <v>39108552103</v>
      </c>
      <c r="AQ44" s="81">
        <f t="shared" ref="AQ44" si="42">SUM(AQ18:AQ37)</f>
        <v>118437396</v>
      </c>
      <c r="AR44" s="81">
        <f t="shared" ref="AR44:AW44" si="43">SUM(AR18:AR37)</f>
        <v>-6235168</v>
      </c>
      <c r="AS44" s="81">
        <f t="shared" si="43"/>
        <v>46516464</v>
      </c>
      <c r="AT44" s="81">
        <f t="shared" si="43"/>
        <v>7514277</v>
      </c>
      <c r="AU44" s="81">
        <f t="shared" si="43"/>
        <v>216095062</v>
      </c>
      <c r="AV44" s="81">
        <f t="shared" si="43"/>
        <v>382328031</v>
      </c>
      <c r="AW44" s="81">
        <f t="shared" si="43"/>
        <v>39488420134</v>
      </c>
      <c r="AX44" s="81">
        <f t="shared" ref="AX44:BE44" si="44">SUM(AX18:AX37)</f>
        <v>1253976129</v>
      </c>
      <c r="AY44" s="81">
        <f t="shared" si="44"/>
        <v>-5290260355</v>
      </c>
      <c r="AZ44" s="81">
        <f t="shared" si="44"/>
        <v>-906552138</v>
      </c>
      <c r="BA44" s="81">
        <f t="shared" si="44"/>
        <v>30046636</v>
      </c>
      <c r="BB44" s="81">
        <f t="shared" si="44"/>
        <v>76674623</v>
      </c>
      <c r="BC44" s="81">
        <f t="shared" si="44"/>
        <v>-4836115105</v>
      </c>
      <c r="BD44" s="81">
        <f t="shared" si="44"/>
        <v>34652305029</v>
      </c>
      <c r="BE44" s="81">
        <f t="shared" si="44"/>
        <v>15132109063</v>
      </c>
      <c r="BF44" s="848">
        <f t="shared" ref="BF44" si="45">BE44/BD44*100</f>
        <v>43.668405464906776</v>
      </c>
    </row>
    <row r="45" spans="1:58">
      <c r="A45" s="72" t="s">
        <v>260</v>
      </c>
      <c r="B45" s="73">
        <v>8</v>
      </c>
      <c r="C45" s="76"/>
      <c r="D45" s="76">
        <f>Bevételek!K550</f>
        <v>667617405</v>
      </c>
      <c r="E45" s="76">
        <f>Bevételek!L550</f>
        <v>667617405</v>
      </c>
      <c r="F45" s="76">
        <f>Bevételek!M550</f>
        <v>0</v>
      </c>
      <c r="G45" s="76">
        <f>Bevételek!N550</f>
        <v>0</v>
      </c>
      <c r="H45" s="76">
        <f>Bevételek!O550</f>
        <v>0</v>
      </c>
      <c r="I45" s="76">
        <f>Bevételek!P550</f>
        <v>0</v>
      </c>
      <c r="J45" s="76">
        <f>Bevételek!Q550</f>
        <v>0</v>
      </c>
      <c r="K45" s="76">
        <f>Bevételek!R550</f>
        <v>0</v>
      </c>
      <c r="L45" s="76">
        <f>Bevételek!S550</f>
        <v>0</v>
      </c>
      <c r="M45" s="76">
        <f>Bevételek!T550</f>
        <v>667617405</v>
      </c>
      <c r="N45" s="76">
        <f>Bevételek!U550</f>
        <v>0</v>
      </c>
      <c r="O45" s="76">
        <f>Bevételek!V550</f>
        <v>0</v>
      </c>
      <c r="P45" s="76">
        <f>Bevételek!W550</f>
        <v>0</v>
      </c>
      <c r="Q45" s="76">
        <f>Bevételek!X550</f>
        <v>0</v>
      </c>
      <c r="R45" s="76">
        <f>Bevételek!Y550</f>
        <v>0</v>
      </c>
      <c r="S45" s="76">
        <f>Bevételek!Z550</f>
        <v>0</v>
      </c>
      <c r="T45" s="76">
        <f>Bevételek!AA550</f>
        <v>667617405</v>
      </c>
      <c r="U45" s="76">
        <f>Bevételek!AB550</f>
        <v>0</v>
      </c>
      <c r="V45" s="76">
        <f>Bevételek!AC550</f>
        <v>0</v>
      </c>
      <c r="W45" s="76">
        <f>Bevételek!AD550</f>
        <v>0</v>
      </c>
      <c r="X45" s="76">
        <f>Bevételek!AE550</f>
        <v>0</v>
      </c>
      <c r="Y45" s="76">
        <f>Bevételek!AF550</f>
        <v>0</v>
      </c>
      <c r="Z45" s="76">
        <f>Bevételek!AG550</f>
        <v>0</v>
      </c>
      <c r="AA45" s="76">
        <f>Bevételek!AH550</f>
        <v>667617405</v>
      </c>
      <c r="AB45" s="76">
        <f>Bevételek!AI550</f>
        <v>479376864</v>
      </c>
      <c r="AC45" s="831">
        <f t="shared" si="25"/>
        <v>71.804129192827133</v>
      </c>
      <c r="AD45" s="179"/>
      <c r="AE45" s="62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850"/>
    </row>
    <row r="46" spans="1:58">
      <c r="A46" s="72" t="s">
        <v>149</v>
      </c>
      <c r="B46" s="73">
        <v>8</v>
      </c>
      <c r="C46" s="76">
        <f>Bevételek!J555</f>
        <v>1330104162</v>
      </c>
      <c r="D46" s="76">
        <f>Bevételek!K555</f>
        <v>13297072395</v>
      </c>
      <c r="E46" s="76">
        <f>Bevételek!L555</f>
        <v>14627176557</v>
      </c>
      <c r="F46" s="76">
        <f>Bevételek!M555</f>
        <v>0</v>
      </c>
      <c r="G46" s="76">
        <f>Bevételek!N555</f>
        <v>0</v>
      </c>
      <c r="H46" s="76">
        <f>Bevételek!O555</f>
        <v>0</v>
      </c>
      <c r="I46" s="76">
        <f>Bevételek!P555</f>
        <v>0</v>
      </c>
      <c r="J46" s="76">
        <f>Bevételek!Q555</f>
        <v>0</v>
      </c>
      <c r="K46" s="76">
        <f>Bevételek!R555</f>
        <v>0</v>
      </c>
      <c r="L46" s="76">
        <f>Bevételek!S555</f>
        <v>0</v>
      </c>
      <c r="M46" s="76">
        <f>Bevételek!T555</f>
        <v>14627176557</v>
      </c>
      <c r="N46" s="76">
        <f>Bevételek!U555</f>
        <v>0</v>
      </c>
      <c r="O46" s="76">
        <f>Bevételek!V555</f>
        <v>0</v>
      </c>
      <c r="P46" s="76">
        <f>Bevételek!W555</f>
        <v>0</v>
      </c>
      <c r="Q46" s="76">
        <f>Bevételek!X555</f>
        <v>0</v>
      </c>
      <c r="R46" s="76">
        <f>Bevételek!Y555</f>
        <v>0</v>
      </c>
      <c r="S46" s="76">
        <f>Bevételek!Z555</f>
        <v>0</v>
      </c>
      <c r="T46" s="76">
        <f>Bevételek!AA555</f>
        <v>14627176557</v>
      </c>
      <c r="U46" s="76">
        <f>Bevételek!AB555</f>
        <v>0</v>
      </c>
      <c r="V46" s="76">
        <f>Bevételek!AC555</f>
        <v>0</v>
      </c>
      <c r="W46" s="76">
        <f>Bevételek!AD555</f>
        <v>0</v>
      </c>
      <c r="X46" s="76">
        <f>Bevételek!AE555</f>
        <v>0</v>
      </c>
      <c r="Y46" s="76">
        <f>Bevételek!AF555</f>
        <v>0</v>
      </c>
      <c r="Z46" s="76">
        <f>Bevételek!AG555</f>
        <v>0</v>
      </c>
      <c r="AA46" s="76">
        <f>Bevételek!AH555</f>
        <v>14627176557</v>
      </c>
      <c r="AB46" s="76">
        <f>Bevételek!AI555</f>
        <v>14627176557</v>
      </c>
      <c r="AC46" s="831">
        <f t="shared" si="25"/>
        <v>100</v>
      </c>
      <c r="AD46" s="182" t="s">
        <v>371</v>
      </c>
      <c r="AE46" s="80">
        <v>9</v>
      </c>
      <c r="AF46" s="81"/>
      <c r="AG46" s="81">
        <f>Kiadások!K2242</f>
        <v>227660800</v>
      </c>
      <c r="AH46" s="81">
        <f>Kiadások!L2242</f>
        <v>227660800</v>
      </c>
      <c r="AI46" s="81">
        <f>Kiadások!M2242</f>
        <v>52065200</v>
      </c>
      <c r="AJ46" s="81">
        <f>Kiadások!N2242</f>
        <v>0</v>
      </c>
      <c r="AK46" s="81">
        <f>Kiadások!O2242</f>
        <v>0</v>
      </c>
      <c r="AL46" s="81">
        <f>Kiadások!P2242</f>
        <v>0</v>
      </c>
      <c r="AM46" s="81">
        <f>Kiadások!Q2242</f>
        <v>0</v>
      </c>
      <c r="AN46" s="81">
        <f>Kiadások!R2242</f>
        <v>0</v>
      </c>
      <c r="AO46" s="81">
        <f>Kiadások!S2242</f>
        <v>52065200</v>
      </c>
      <c r="AP46" s="81">
        <f>Kiadások!T2242</f>
        <v>279726000</v>
      </c>
      <c r="AQ46" s="81">
        <f>Kiadások!U2242</f>
        <v>0</v>
      </c>
      <c r="AR46" s="81">
        <f>Kiadások!V2242</f>
        <v>0</v>
      </c>
      <c r="AS46" s="81">
        <f>Kiadások!W2242</f>
        <v>0</v>
      </c>
      <c r="AT46" s="81">
        <f>Kiadások!X2242</f>
        <v>0</v>
      </c>
      <c r="AU46" s="81">
        <f>Kiadások!Y2242</f>
        <v>0</v>
      </c>
      <c r="AV46" s="81">
        <f>Kiadások!Z2242</f>
        <v>0</v>
      </c>
      <c r="AW46" s="81">
        <f>Kiadások!AA2242</f>
        <v>279726000</v>
      </c>
      <c r="AX46" s="81">
        <f>Kiadások!AB2242</f>
        <v>0</v>
      </c>
      <c r="AY46" s="81">
        <f>Kiadások!AC2242</f>
        <v>0</v>
      </c>
      <c r="AZ46" s="81">
        <f>Kiadások!AD2242</f>
        <v>0</v>
      </c>
      <c r="BA46" s="81">
        <f>Kiadások!AE2242</f>
        <v>0</v>
      </c>
      <c r="BB46" s="81">
        <f>Kiadások!AF2242</f>
        <v>0</v>
      </c>
      <c r="BC46" s="81">
        <f>Kiadások!AG2242</f>
        <v>0</v>
      </c>
      <c r="BD46" s="81">
        <f>Kiadások!AH2242</f>
        <v>279726000</v>
      </c>
      <c r="BE46" s="81">
        <f>Kiadások!AI2242</f>
        <v>208260800</v>
      </c>
      <c r="BF46" s="848">
        <f t="shared" ref="BF46" si="46">BE46/BD46*100</f>
        <v>74.451713462459693</v>
      </c>
    </row>
    <row r="47" spans="1:58">
      <c r="A47" s="72" t="s">
        <v>594</v>
      </c>
      <c r="B47" s="73"/>
      <c r="C47" s="76"/>
      <c r="D47" s="76"/>
      <c r="E47" s="76"/>
      <c r="F47" s="76">
        <f>Bevételek!M557</f>
        <v>1062215125</v>
      </c>
      <c r="G47" s="76">
        <f>Bevételek!N557</f>
        <v>0</v>
      </c>
      <c r="H47" s="76">
        <f>Bevételek!O557</f>
        <v>0</v>
      </c>
      <c r="I47" s="76">
        <f>Bevételek!P557</f>
        <v>0</v>
      </c>
      <c r="J47" s="76">
        <f>Bevételek!Q557</f>
        <v>0</v>
      </c>
      <c r="K47" s="76">
        <f>Bevételek!R557</f>
        <v>0</v>
      </c>
      <c r="L47" s="76">
        <f>Bevételek!S557</f>
        <v>1062215125</v>
      </c>
      <c r="M47" s="76">
        <f>Bevételek!T557</f>
        <v>1062215125</v>
      </c>
      <c r="N47" s="76">
        <f>Bevételek!U557</f>
        <v>0</v>
      </c>
      <c r="O47" s="76">
        <f>Bevételek!V557</f>
        <v>0</v>
      </c>
      <c r="P47" s="76">
        <f>Bevételek!W557</f>
        <v>0</v>
      </c>
      <c r="Q47" s="76">
        <f>Bevételek!X557</f>
        <v>0</v>
      </c>
      <c r="R47" s="76">
        <f>Bevételek!Y557</f>
        <v>0</v>
      </c>
      <c r="S47" s="76">
        <f>Bevételek!Z557</f>
        <v>0</v>
      </c>
      <c r="T47" s="76">
        <f>Bevételek!AA557</f>
        <v>1062215125</v>
      </c>
      <c r="U47" s="76">
        <f>Bevételek!AB557</f>
        <v>0</v>
      </c>
      <c r="V47" s="76">
        <f>Bevételek!AC557</f>
        <v>0</v>
      </c>
      <c r="W47" s="76">
        <f>Bevételek!AD557</f>
        <v>0</v>
      </c>
      <c r="X47" s="76">
        <f>Bevételek!AE557</f>
        <v>0</v>
      </c>
      <c r="Y47" s="76">
        <f>Bevételek!AF557</f>
        <v>0</v>
      </c>
      <c r="Z47" s="76">
        <f>Bevételek!AG557</f>
        <v>0</v>
      </c>
      <c r="AA47" s="76">
        <f>Bevételek!AH557</f>
        <v>1062215125</v>
      </c>
      <c r="AB47" s="76">
        <f>Bevételek!AI557</f>
        <v>1062215125</v>
      </c>
      <c r="AC47" s="831">
        <f t="shared" si="25"/>
        <v>100</v>
      </c>
      <c r="AD47" s="182"/>
      <c r="AE47" s="80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50"/>
    </row>
    <row r="48" spans="1:58">
      <c r="A48" s="72" t="s">
        <v>380</v>
      </c>
      <c r="B48" s="73">
        <v>8</v>
      </c>
      <c r="C48" s="74">
        <f>Bevételek!J562</f>
        <v>5600000000</v>
      </c>
      <c r="D48" s="74"/>
      <c r="E48" s="74">
        <f>Bevételek!L562</f>
        <v>5600000000</v>
      </c>
      <c r="F48" s="74">
        <f>Bevételek!M562</f>
        <v>0</v>
      </c>
      <c r="G48" s="74">
        <f>Bevételek!N562</f>
        <v>0</v>
      </c>
      <c r="H48" s="74">
        <f>Bevételek!O562</f>
        <v>0</v>
      </c>
      <c r="I48" s="74">
        <f>Bevételek!P562</f>
        <v>0</v>
      </c>
      <c r="J48" s="74">
        <f>Bevételek!Q562</f>
        <v>6950069686</v>
      </c>
      <c r="K48" s="74">
        <f>Bevételek!R562</f>
        <v>0</v>
      </c>
      <c r="L48" s="74">
        <f>Bevételek!S562</f>
        <v>6950069686</v>
      </c>
      <c r="M48" s="74">
        <f>Bevételek!T562</f>
        <v>12550069686</v>
      </c>
      <c r="N48" s="74">
        <f>Bevételek!U562</f>
        <v>0</v>
      </c>
      <c r="O48" s="74">
        <f>Bevételek!V562</f>
        <v>0</v>
      </c>
      <c r="P48" s="74">
        <f>Bevételek!W562</f>
        <v>0</v>
      </c>
      <c r="Q48" s="74">
        <f>Bevételek!X562</f>
        <v>1200000000</v>
      </c>
      <c r="R48" s="74">
        <f>Bevételek!Y562</f>
        <v>0</v>
      </c>
      <c r="S48" s="74">
        <f>Bevételek!Z562</f>
        <v>1200000000</v>
      </c>
      <c r="T48" s="74">
        <f>Bevételek!AA562</f>
        <v>13750069686</v>
      </c>
      <c r="U48" s="74">
        <f>Bevételek!AB562+Bevételek!AB563</f>
        <v>88615106</v>
      </c>
      <c r="V48" s="74">
        <f>Bevételek!AC562+Bevételek!AC563</f>
        <v>-5455649260</v>
      </c>
      <c r="W48" s="74">
        <f>Bevételek!AD562+Bevételek!AD563</f>
        <v>0</v>
      </c>
      <c r="X48" s="74">
        <f>Bevételek!AE562+Bevételek!AE563</f>
        <v>300000000</v>
      </c>
      <c r="Y48" s="74">
        <f>Bevételek!AF562+Bevételek!AF563</f>
        <v>0</v>
      </c>
      <c r="Z48" s="74">
        <f>Bevételek!AG562+Bevételek!AG563</f>
        <v>-5067034154</v>
      </c>
      <c r="AA48" s="74">
        <f>Bevételek!AH562+Bevételek!AH563</f>
        <v>8683035532</v>
      </c>
      <c r="AB48" s="74">
        <f>Bevételek!AI562+Bevételek!AI563</f>
        <v>8683035532</v>
      </c>
      <c r="AC48" s="831">
        <f t="shared" si="25"/>
        <v>100</v>
      </c>
      <c r="AD48" s="182" t="s">
        <v>381</v>
      </c>
      <c r="AE48" s="80">
        <v>9</v>
      </c>
      <c r="AF48" s="81">
        <f>Kiadások!J2243+Kiadások!J2244</f>
        <v>1698509699</v>
      </c>
      <c r="AG48" s="81">
        <f>Kiadások!K2243+Kiadások!K2244</f>
        <v>0</v>
      </c>
      <c r="AH48" s="81">
        <f>Kiadások!L2243+Kiadások!L2244</f>
        <v>1698509699</v>
      </c>
      <c r="AI48" s="81">
        <f>Kiadások!M2243+Kiadások!M2244</f>
        <v>0</v>
      </c>
      <c r="AJ48" s="81">
        <f>Kiadások!N2243+Kiadások!N2244</f>
        <v>0</v>
      </c>
      <c r="AK48" s="81">
        <f>Kiadások!O2243+Kiadások!O2244</f>
        <v>0</v>
      </c>
      <c r="AL48" s="81">
        <f>Kiadások!P2243+Kiadások!P2244</f>
        <v>0</v>
      </c>
      <c r="AM48" s="81">
        <f>Kiadások!Q2243+Kiadások!Q2244</f>
        <v>6950069686</v>
      </c>
      <c r="AN48" s="81">
        <f>Kiadások!R2243+Kiadások!R2244</f>
        <v>0</v>
      </c>
      <c r="AO48" s="81">
        <f>Kiadások!S2243+Kiadások!S2244</f>
        <v>6950069686</v>
      </c>
      <c r="AP48" s="81">
        <f>Kiadások!T2243+Kiadások!T2244</f>
        <v>8648579385</v>
      </c>
      <c r="AQ48" s="81">
        <f>Kiadások!U2243+Kiadások!U2244</f>
        <v>0</v>
      </c>
      <c r="AR48" s="81">
        <f>Kiadások!V2243+Kiadások!V2244</f>
        <v>0</v>
      </c>
      <c r="AS48" s="81">
        <f>Kiadások!W2243+Kiadások!W2244</f>
        <v>0</v>
      </c>
      <c r="AT48" s="81">
        <f>Kiadások!X2243+Kiadások!X2244</f>
        <v>1200000000</v>
      </c>
      <c r="AU48" s="81">
        <f>Kiadások!Y2243+Kiadások!Y2244</f>
        <v>0</v>
      </c>
      <c r="AV48" s="81">
        <f>Kiadások!Z2243+Kiadások!Z2244</f>
        <v>1200000000</v>
      </c>
      <c r="AW48" s="81">
        <f>Kiadások!AA2243+Kiadások!AA2244</f>
        <v>9848579385</v>
      </c>
      <c r="AX48" s="81">
        <f>Kiadások!AB2243+Kiadások!AB2244+Kiadások!AB2245</f>
        <v>88615106</v>
      </c>
      <c r="AY48" s="81">
        <f>Kiadások!AC2243+Kiadások!AC2244+Kiadások!AC2245</f>
        <v>0</v>
      </c>
      <c r="AZ48" s="81">
        <f>Kiadások!AD2243+Kiadások!AD2244+Kiadások!AD2245</f>
        <v>0</v>
      </c>
      <c r="BA48" s="81">
        <f>Kiadások!AE2243+Kiadások!AE2244+Kiadások!AE2245</f>
        <v>300000000</v>
      </c>
      <c r="BB48" s="81">
        <f>Kiadások!AF2243+Kiadások!AF2244+Kiadások!AF2245</f>
        <v>0</v>
      </c>
      <c r="BC48" s="81">
        <f>Kiadások!AG2243+Kiadások!AG2244+Kiadások!AG2245</f>
        <v>388615106</v>
      </c>
      <c r="BD48" s="81">
        <f>Kiadások!AH2243+Kiadások!AH2244+Kiadások!AH2245</f>
        <v>10237194491</v>
      </c>
      <c r="BE48" s="81">
        <f>Kiadások!AI2243+Kiadások!AI2244+Kiadások!AI2245</f>
        <v>10148579385</v>
      </c>
      <c r="BF48" s="848">
        <f t="shared" ref="BF48:BF49" si="47">BE48/BD48*100</f>
        <v>99.134380947066063</v>
      </c>
    </row>
    <row r="49" spans="1:58" ht="13.5" thickBot="1">
      <c r="A49" s="190" t="s">
        <v>6</v>
      </c>
      <c r="B49" s="191">
        <v>8</v>
      </c>
      <c r="C49" s="201">
        <f>SUM(C45:C48)</f>
        <v>6930104162</v>
      </c>
      <c r="D49" s="201">
        <f>SUM(D45:D48)</f>
        <v>13964689800</v>
      </c>
      <c r="E49" s="201">
        <f>SUM(E45:E48)</f>
        <v>20894793962</v>
      </c>
      <c r="F49" s="201">
        <f t="shared" ref="F49:L49" si="48">SUM(F45:F48)</f>
        <v>1062215125</v>
      </c>
      <c r="G49" s="201">
        <f t="shared" si="48"/>
        <v>0</v>
      </c>
      <c r="H49" s="201">
        <f t="shared" si="48"/>
        <v>0</v>
      </c>
      <c r="I49" s="201">
        <f t="shared" si="48"/>
        <v>0</v>
      </c>
      <c r="J49" s="201">
        <f t="shared" si="48"/>
        <v>6950069686</v>
      </c>
      <c r="K49" s="201">
        <f t="shared" si="48"/>
        <v>0</v>
      </c>
      <c r="L49" s="201">
        <f t="shared" si="48"/>
        <v>8012284811</v>
      </c>
      <c r="M49" s="201">
        <f t="shared" ref="M49:S49" si="49">SUM(M45:M48)</f>
        <v>28907078773</v>
      </c>
      <c r="N49" s="201">
        <f t="shared" si="49"/>
        <v>0</v>
      </c>
      <c r="O49" s="201">
        <f t="shared" si="49"/>
        <v>0</v>
      </c>
      <c r="P49" s="201">
        <f t="shared" si="49"/>
        <v>0</v>
      </c>
      <c r="Q49" s="201">
        <f t="shared" si="49"/>
        <v>1200000000</v>
      </c>
      <c r="R49" s="201">
        <f t="shared" si="49"/>
        <v>0</v>
      </c>
      <c r="S49" s="201">
        <f t="shared" si="49"/>
        <v>1200000000</v>
      </c>
      <c r="T49" s="201">
        <f t="shared" ref="T49:AB49" si="50">SUM(T45:T48)</f>
        <v>30107078773</v>
      </c>
      <c r="U49" s="201">
        <f t="shared" si="50"/>
        <v>88615106</v>
      </c>
      <c r="V49" s="201">
        <f t="shared" si="50"/>
        <v>-5455649260</v>
      </c>
      <c r="W49" s="201">
        <f t="shared" si="50"/>
        <v>0</v>
      </c>
      <c r="X49" s="201">
        <f t="shared" si="50"/>
        <v>300000000</v>
      </c>
      <c r="Y49" s="201">
        <f t="shared" si="50"/>
        <v>0</v>
      </c>
      <c r="Z49" s="201">
        <f t="shared" si="50"/>
        <v>-5067034154</v>
      </c>
      <c r="AA49" s="201">
        <f t="shared" si="50"/>
        <v>25040044619</v>
      </c>
      <c r="AB49" s="201">
        <f t="shared" si="50"/>
        <v>24851804078</v>
      </c>
      <c r="AC49" s="846">
        <f t="shared" si="25"/>
        <v>99.248241990522786</v>
      </c>
      <c r="AD49" s="185" t="s">
        <v>7</v>
      </c>
      <c r="AE49" s="234"/>
      <c r="AF49" s="201">
        <f>AF48+AF46</f>
        <v>1698509699</v>
      </c>
      <c r="AG49" s="201">
        <f>AG48+AG46</f>
        <v>227660800</v>
      </c>
      <c r="AH49" s="201">
        <f>AH48+AH46</f>
        <v>1926170499</v>
      </c>
      <c r="AI49" s="201">
        <f t="shared" ref="AI49:AP49" si="51">AI48+AI46</f>
        <v>52065200</v>
      </c>
      <c r="AJ49" s="201">
        <f t="shared" si="51"/>
        <v>0</v>
      </c>
      <c r="AK49" s="201">
        <f t="shared" si="51"/>
        <v>0</v>
      </c>
      <c r="AL49" s="201">
        <f t="shared" si="51"/>
        <v>0</v>
      </c>
      <c r="AM49" s="201">
        <f t="shared" si="51"/>
        <v>6950069686</v>
      </c>
      <c r="AN49" s="201">
        <f t="shared" si="51"/>
        <v>0</v>
      </c>
      <c r="AO49" s="201">
        <f t="shared" si="51"/>
        <v>7002134886</v>
      </c>
      <c r="AP49" s="201">
        <f t="shared" si="51"/>
        <v>8928305385</v>
      </c>
      <c r="AQ49" s="201">
        <f t="shared" ref="AQ49" si="52">AQ48+AQ46</f>
        <v>0</v>
      </c>
      <c r="AR49" s="201">
        <f t="shared" ref="AR49:AW49" si="53">AR48+AR46</f>
        <v>0</v>
      </c>
      <c r="AS49" s="201">
        <f t="shared" si="53"/>
        <v>0</v>
      </c>
      <c r="AT49" s="201">
        <f t="shared" si="53"/>
        <v>1200000000</v>
      </c>
      <c r="AU49" s="201">
        <f t="shared" si="53"/>
        <v>0</v>
      </c>
      <c r="AV49" s="201">
        <f t="shared" si="53"/>
        <v>1200000000</v>
      </c>
      <c r="AW49" s="201">
        <f t="shared" si="53"/>
        <v>10128305385</v>
      </c>
      <c r="AX49" s="201">
        <f t="shared" ref="AX49:BE49" si="54">AX48+AX46</f>
        <v>88615106</v>
      </c>
      <c r="AY49" s="201">
        <f t="shared" si="54"/>
        <v>0</v>
      </c>
      <c r="AZ49" s="201">
        <f t="shared" si="54"/>
        <v>0</v>
      </c>
      <c r="BA49" s="201">
        <f t="shared" si="54"/>
        <v>300000000</v>
      </c>
      <c r="BB49" s="201">
        <f t="shared" si="54"/>
        <v>0</v>
      </c>
      <c r="BC49" s="201">
        <f t="shared" si="54"/>
        <v>388615106</v>
      </c>
      <c r="BD49" s="201">
        <f t="shared" si="54"/>
        <v>10516920491</v>
      </c>
      <c r="BE49" s="201">
        <f t="shared" si="54"/>
        <v>10356840185</v>
      </c>
      <c r="BF49" s="851">
        <f t="shared" si="47"/>
        <v>98.477878518364847</v>
      </c>
    </row>
    <row r="50" spans="1:58" ht="13.5" thickBot="1">
      <c r="A50" s="198" t="s">
        <v>24</v>
      </c>
      <c r="B50" s="199"/>
      <c r="C50" s="200">
        <f>C49+C44</f>
        <v>15373084664</v>
      </c>
      <c r="D50" s="200">
        <f>D49+D44</f>
        <v>20151396300</v>
      </c>
      <c r="E50" s="200">
        <f>E49+E44</f>
        <v>35524480964</v>
      </c>
      <c r="F50" s="200">
        <f t="shared" ref="F50:L50" si="55">F49+F44</f>
        <v>1900740559</v>
      </c>
      <c r="G50" s="200">
        <f t="shared" si="55"/>
        <v>123596701</v>
      </c>
      <c r="H50" s="200">
        <f t="shared" si="55"/>
        <v>149930314</v>
      </c>
      <c r="I50" s="200">
        <f t="shared" si="55"/>
        <v>20874131</v>
      </c>
      <c r="J50" s="200">
        <f t="shared" si="55"/>
        <v>6950069686</v>
      </c>
      <c r="K50" s="200">
        <f t="shared" si="55"/>
        <v>240651215</v>
      </c>
      <c r="L50" s="200">
        <f t="shared" si="55"/>
        <v>9385862606</v>
      </c>
      <c r="M50" s="200">
        <f t="shared" ref="M50:S50" si="56">M49+M44</f>
        <v>44898306879</v>
      </c>
      <c r="N50" s="200">
        <f t="shared" si="56"/>
        <v>118437396</v>
      </c>
      <c r="O50" s="200">
        <f t="shared" si="56"/>
        <v>7764832</v>
      </c>
      <c r="P50" s="200">
        <f t="shared" si="56"/>
        <v>45830124</v>
      </c>
      <c r="Q50" s="200">
        <f t="shared" si="56"/>
        <v>1200000000</v>
      </c>
      <c r="R50" s="200">
        <f t="shared" si="56"/>
        <v>216095062</v>
      </c>
      <c r="S50" s="200">
        <f t="shared" si="56"/>
        <v>1588127414</v>
      </c>
      <c r="T50" s="200">
        <f t="shared" ref="T50:AB50" si="57">T49+T44</f>
        <v>46486434293</v>
      </c>
      <c r="U50" s="200">
        <f t="shared" si="57"/>
        <v>1342591235</v>
      </c>
      <c r="V50" s="200">
        <f t="shared" si="57"/>
        <v>-5316567830</v>
      </c>
      <c r="W50" s="200">
        <f t="shared" si="57"/>
        <v>-906552138</v>
      </c>
      <c r="X50" s="200">
        <f t="shared" si="57"/>
        <v>302749177</v>
      </c>
      <c r="Y50" s="200">
        <f t="shared" si="57"/>
        <v>76674623</v>
      </c>
      <c r="Z50" s="200">
        <f t="shared" si="57"/>
        <v>-4501104933</v>
      </c>
      <c r="AA50" s="200">
        <f t="shared" si="57"/>
        <v>41985329360</v>
      </c>
      <c r="AB50" s="200">
        <f t="shared" si="57"/>
        <v>41804083178</v>
      </c>
      <c r="AC50" s="847">
        <f>AB50/AA50*100</f>
        <v>99.568310681938641</v>
      </c>
      <c r="AD50" s="233" t="s">
        <v>60</v>
      </c>
      <c r="AE50" s="233"/>
      <c r="AF50" s="232">
        <f>SUM(AF44:AF48)</f>
        <v>14823814118.5</v>
      </c>
      <c r="AG50" s="232">
        <f>SUM(AG44:AG48)</f>
        <v>24015685106</v>
      </c>
      <c r="AH50" s="232">
        <f>SUM(AH44:AH48)</f>
        <v>38659113653</v>
      </c>
      <c r="AI50" s="232">
        <f t="shared" ref="AI50:AP50" si="58">SUM(AI44:AI48)</f>
        <v>1900740559</v>
      </c>
      <c r="AJ50" s="232">
        <f t="shared" si="58"/>
        <v>111560010</v>
      </c>
      <c r="AK50" s="232">
        <f t="shared" si="58"/>
        <v>156666314</v>
      </c>
      <c r="AL50" s="232">
        <f t="shared" si="58"/>
        <v>20187791</v>
      </c>
      <c r="AM50" s="232">
        <f t="shared" si="58"/>
        <v>6947937946</v>
      </c>
      <c r="AN50" s="232">
        <f t="shared" si="58"/>
        <v>240651215</v>
      </c>
      <c r="AO50" s="232">
        <f t="shared" si="58"/>
        <v>9377743835</v>
      </c>
      <c r="AP50" s="232">
        <f t="shared" si="58"/>
        <v>48036857488</v>
      </c>
      <c r="AQ50" s="232">
        <f t="shared" ref="AQ50" si="59">SUM(AQ44:AQ48)</f>
        <v>118437396</v>
      </c>
      <c r="AR50" s="232">
        <f t="shared" ref="AR50:AW50" si="60">SUM(AR44:AR48)</f>
        <v>-6235168</v>
      </c>
      <c r="AS50" s="232">
        <f t="shared" si="60"/>
        <v>46516464</v>
      </c>
      <c r="AT50" s="232">
        <f t="shared" si="60"/>
        <v>1207514277</v>
      </c>
      <c r="AU50" s="232">
        <f t="shared" si="60"/>
        <v>216095062</v>
      </c>
      <c r="AV50" s="232">
        <f t="shared" si="60"/>
        <v>1582328031</v>
      </c>
      <c r="AW50" s="232">
        <f t="shared" si="60"/>
        <v>49616725519</v>
      </c>
      <c r="AX50" s="232">
        <f t="shared" ref="AX50:BE50" si="61">SUM(AX44:AX48)</f>
        <v>1342591235</v>
      </c>
      <c r="AY50" s="232">
        <f t="shared" si="61"/>
        <v>-5290260355</v>
      </c>
      <c r="AZ50" s="232">
        <f t="shared" si="61"/>
        <v>-906552138</v>
      </c>
      <c r="BA50" s="232">
        <f t="shared" si="61"/>
        <v>330046636</v>
      </c>
      <c r="BB50" s="232">
        <f t="shared" si="61"/>
        <v>76674623</v>
      </c>
      <c r="BC50" s="232">
        <f t="shared" si="61"/>
        <v>-4447499999</v>
      </c>
      <c r="BD50" s="232">
        <f t="shared" si="61"/>
        <v>45169225520</v>
      </c>
      <c r="BE50" s="232">
        <f t="shared" si="61"/>
        <v>25488949248</v>
      </c>
      <c r="BF50" s="852">
        <f>BE50/BD50*100</f>
        <v>56.429901010177872</v>
      </c>
    </row>
    <row r="52" spans="1:58" ht="20.25" customHeight="1"/>
    <row r="54" spans="1:58">
      <c r="A54" s="1"/>
      <c r="B54" s="1"/>
    </row>
    <row r="55" spans="1:58" s="17" customFormat="1" ht="18" customHeight="1">
      <c r="A55" s="3"/>
      <c r="B55" s="3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238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238"/>
    </row>
    <row r="57" spans="1:58" ht="15.75" customHeight="1"/>
    <row r="58" spans="1:58" ht="9" customHeight="1"/>
    <row r="59" spans="1:58" ht="18" customHeight="1"/>
  </sheetData>
  <mergeCells count="24">
    <mergeCell ref="AX6:BC6"/>
    <mergeCell ref="BD6:BD7"/>
    <mergeCell ref="BE6:BE7"/>
    <mergeCell ref="BF6:BF7"/>
    <mergeCell ref="AD5:BF5"/>
    <mergeCell ref="AW6:AW7"/>
    <mergeCell ref="AQ6:AV6"/>
    <mergeCell ref="AI6:AO6"/>
    <mergeCell ref="AP6:AP7"/>
    <mergeCell ref="AH6:AH7"/>
    <mergeCell ref="AE6:AE7"/>
    <mergeCell ref="AD6:AD7"/>
    <mergeCell ref="U6:Z6"/>
    <mergeCell ref="AA6:AA7"/>
    <mergeCell ref="AB6:AB7"/>
    <mergeCell ref="AC6:AC7"/>
    <mergeCell ref="A5:AC5"/>
    <mergeCell ref="N6:S6"/>
    <mergeCell ref="T6:T7"/>
    <mergeCell ref="F6:L6"/>
    <mergeCell ref="M6:M7"/>
    <mergeCell ref="E6:E7"/>
    <mergeCell ref="B6:B7"/>
    <mergeCell ref="A6:A7"/>
  </mergeCells>
  <printOptions horizontalCentered="1"/>
  <pageMargins left="0.23622047244094491" right="0.27559055118110237" top="0.47244094488188981" bottom="0.35433070866141736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1"/>
  <sheetViews>
    <sheetView showGridLines="0" topLeftCell="A37" workbookViewId="0">
      <selection activeCell="A53" sqref="A53"/>
    </sheetView>
  </sheetViews>
  <sheetFormatPr defaultColWidth="9.1796875" defaultRowHeight="13"/>
  <cols>
    <col min="1" max="1" width="50.36328125" style="3" customWidth="1"/>
    <col min="2" max="2" width="7" style="3" customWidth="1"/>
    <col min="3" max="3" width="12" style="60" hidden="1" customWidth="1"/>
    <col min="4" max="4" width="10.81640625" style="60" hidden="1" customWidth="1"/>
    <col min="5" max="5" width="12.36328125" style="60" customWidth="1"/>
    <col min="6" max="6" width="11.36328125" style="60" hidden="1" customWidth="1"/>
    <col min="7" max="7" width="9.54296875" style="60" hidden="1" customWidth="1"/>
    <col min="8" max="8" width="10.08984375" style="60" hidden="1" customWidth="1"/>
    <col min="9" max="9" width="12.36328125" style="60" hidden="1" customWidth="1"/>
    <col min="10" max="10" width="9" style="60" hidden="1" customWidth="1"/>
    <col min="11" max="11" width="8.453125" style="60" hidden="1" customWidth="1"/>
    <col min="12" max="13" width="12.36328125" style="60" hidden="1" customWidth="1"/>
    <col min="14" max="14" width="9.54296875" style="60" hidden="1" customWidth="1"/>
    <col min="15" max="15" width="10.08984375" style="60" hidden="1" customWidth="1"/>
    <col min="16" max="16" width="12.36328125" style="60" hidden="1" customWidth="1"/>
    <col min="17" max="17" width="9" style="60" hidden="1" customWidth="1"/>
    <col min="18" max="18" width="8.453125" style="60" hidden="1" customWidth="1"/>
    <col min="19" max="20" width="12.36328125" style="60" hidden="1" customWidth="1"/>
    <col min="21" max="21" width="7.26953125" style="60" hidden="1" customWidth="1"/>
    <col min="22" max="22" width="10.08984375" style="60" hidden="1" customWidth="1"/>
    <col min="23" max="23" width="12.36328125" style="60" hidden="1" customWidth="1"/>
    <col min="24" max="24" width="9" style="60" hidden="1" customWidth="1"/>
    <col min="25" max="25" width="8.453125" style="60" hidden="1" customWidth="1"/>
    <col min="26" max="26" width="9.81640625" style="60" hidden="1" customWidth="1"/>
    <col min="27" max="28" width="12.36328125" style="60" customWidth="1"/>
    <col min="29" max="29" width="7.36328125" style="238" customWidth="1"/>
    <col min="30" max="30" width="43.1796875" style="60" customWidth="1"/>
    <col min="31" max="31" width="6.453125" style="60" customWidth="1"/>
    <col min="32" max="33" width="10.453125" style="60" hidden="1" customWidth="1"/>
    <col min="34" max="34" width="10" style="60" customWidth="1"/>
    <col min="35" max="35" width="10" style="60" hidden="1" customWidth="1"/>
    <col min="36" max="36" width="7.453125" style="60" hidden="1" customWidth="1"/>
    <col min="37" max="39" width="10" style="60" hidden="1" customWidth="1"/>
    <col min="40" max="40" width="8" style="60" hidden="1" customWidth="1"/>
    <col min="41" max="41" width="10" style="60" hidden="1" customWidth="1"/>
    <col min="42" max="42" width="12.26953125" style="60" hidden="1" customWidth="1"/>
    <col min="43" max="43" width="9.54296875" style="60" hidden="1" customWidth="1"/>
    <col min="44" max="44" width="10.08984375" style="60" hidden="1" customWidth="1"/>
    <col min="45" max="45" width="12.36328125" style="60" hidden="1" customWidth="1"/>
    <col min="46" max="46" width="9" style="60" hidden="1" customWidth="1"/>
    <col min="47" max="47" width="8.453125" style="60" hidden="1" customWidth="1"/>
    <col min="48" max="49" width="12.36328125" style="60" hidden="1" customWidth="1"/>
    <col min="50" max="50" width="6.54296875" style="60" hidden="1" customWidth="1"/>
    <col min="51" max="51" width="10.08984375" style="60" hidden="1" customWidth="1"/>
    <col min="52" max="52" width="10.36328125" style="60" hidden="1" customWidth="1"/>
    <col min="53" max="53" width="9.81640625" style="60" hidden="1" customWidth="1"/>
    <col min="54" max="54" width="8.453125" style="60" hidden="1" customWidth="1"/>
    <col min="55" max="55" width="10.6328125" style="60" hidden="1" customWidth="1"/>
    <col min="56" max="57" width="12.36328125" style="60" customWidth="1"/>
    <col min="58" max="58" width="7.90625" style="238" customWidth="1"/>
    <col min="59" max="16384" width="9.1796875" style="3"/>
  </cols>
  <sheetData>
    <row r="1" spans="1:58" ht="12" customHeight="1">
      <c r="A1" s="10" t="s">
        <v>30</v>
      </c>
      <c r="B1" s="10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682"/>
      <c r="AD1" s="54"/>
      <c r="AE1" s="54"/>
      <c r="AF1" s="54"/>
      <c r="AG1" s="54"/>
      <c r="AI1" s="56"/>
      <c r="AJ1" s="56"/>
      <c r="AK1" s="56"/>
      <c r="AL1" s="56"/>
      <c r="AM1" s="56"/>
      <c r="AN1" s="56"/>
      <c r="AO1" s="56"/>
      <c r="AQ1" s="53"/>
      <c r="AR1" s="53"/>
      <c r="AS1" s="53"/>
      <c r="AT1" s="53"/>
      <c r="AU1" s="53"/>
      <c r="AV1" s="53"/>
      <c r="AW1" s="237"/>
      <c r="AX1" s="53"/>
      <c r="AY1" s="53"/>
      <c r="AZ1" s="53"/>
      <c r="BA1" s="53"/>
      <c r="BB1" s="53"/>
      <c r="BC1" s="53"/>
      <c r="BE1" s="53"/>
      <c r="BF1" s="237" t="s">
        <v>680</v>
      </c>
    </row>
    <row r="2" spans="1:58" ht="22.5" customHeight="1">
      <c r="A2" s="14"/>
      <c r="B2" s="14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682"/>
      <c r="AD2" s="54"/>
      <c r="AE2" s="54"/>
      <c r="AF2" s="54"/>
      <c r="AG2" s="54"/>
      <c r="AQ2" s="53"/>
      <c r="AR2" s="53"/>
      <c r="AS2" s="53"/>
      <c r="AT2" s="53"/>
      <c r="AU2" s="53"/>
      <c r="AV2" s="53"/>
      <c r="AW2" s="238"/>
      <c r="AX2" s="53"/>
      <c r="AY2" s="53"/>
      <c r="AZ2" s="53"/>
      <c r="BA2" s="53"/>
      <c r="BB2" s="53"/>
      <c r="BC2" s="53"/>
      <c r="BE2" s="53"/>
    </row>
    <row r="3" spans="1:58" ht="21" customHeight="1">
      <c r="A3" s="14"/>
      <c r="B3" s="14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682"/>
      <c r="AD3" s="54"/>
      <c r="AE3" s="54"/>
      <c r="AF3" s="54"/>
      <c r="AG3" s="54"/>
      <c r="AH3" s="57"/>
      <c r="AI3" s="57"/>
      <c r="AJ3" s="57"/>
      <c r="AK3" s="57"/>
      <c r="AL3" s="57"/>
      <c r="AM3" s="57"/>
      <c r="AN3" s="57"/>
      <c r="AO3" s="57"/>
      <c r="AQ3" s="53"/>
      <c r="AR3" s="53"/>
      <c r="AS3" s="53"/>
      <c r="AT3" s="53"/>
      <c r="AU3" s="53"/>
      <c r="AV3" s="53"/>
      <c r="AW3" s="683"/>
      <c r="AX3" s="53"/>
      <c r="AY3" s="53"/>
      <c r="AZ3" s="53"/>
      <c r="BA3" s="53"/>
      <c r="BB3" s="53"/>
      <c r="BC3" s="53"/>
      <c r="BE3" s="53"/>
      <c r="BF3" s="683"/>
    </row>
    <row r="4" spans="1:58" ht="26" customHeight="1" thickBot="1">
      <c r="A4" s="14"/>
      <c r="B4" s="14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682"/>
      <c r="AD4" s="53"/>
      <c r="AE4" s="53"/>
      <c r="AF4" s="53"/>
      <c r="AG4" s="53"/>
      <c r="AI4" s="56"/>
      <c r="AJ4" s="56"/>
      <c r="AK4" s="56"/>
      <c r="AL4" s="56"/>
      <c r="AM4" s="56"/>
      <c r="AN4" s="56"/>
      <c r="AO4" s="56"/>
      <c r="AQ4" s="53"/>
      <c r="AR4" s="53"/>
      <c r="AS4" s="53"/>
      <c r="AT4" s="53"/>
      <c r="AU4" s="53"/>
      <c r="AV4" s="53"/>
      <c r="AW4" s="237"/>
      <c r="AX4" s="53"/>
      <c r="AY4" s="53"/>
      <c r="AZ4" s="53"/>
      <c r="BA4" s="53"/>
      <c r="BB4" s="53"/>
      <c r="BC4" s="53"/>
      <c r="BE4" s="53"/>
      <c r="BF4" s="237" t="s">
        <v>378</v>
      </c>
    </row>
    <row r="5" spans="1:58" s="21" customFormat="1" ht="18" thickBot="1">
      <c r="A5" s="986" t="s">
        <v>61</v>
      </c>
      <c r="B5" s="987"/>
      <c r="C5" s="987"/>
      <c r="D5" s="987"/>
      <c r="E5" s="987"/>
      <c r="F5" s="987"/>
      <c r="G5" s="987"/>
      <c r="H5" s="987"/>
      <c r="I5" s="987"/>
      <c r="J5" s="987"/>
      <c r="K5" s="987"/>
      <c r="L5" s="987"/>
      <c r="M5" s="987"/>
      <c r="N5" s="987"/>
      <c r="O5" s="987"/>
      <c r="P5" s="987"/>
      <c r="Q5" s="987"/>
      <c r="R5" s="987"/>
      <c r="S5" s="987"/>
      <c r="T5" s="987"/>
      <c r="U5" s="987"/>
      <c r="V5" s="987"/>
      <c r="W5" s="987"/>
      <c r="X5" s="987"/>
      <c r="Y5" s="987"/>
      <c r="Z5" s="987"/>
      <c r="AA5" s="987"/>
      <c r="AB5" s="987"/>
      <c r="AC5" s="987"/>
      <c r="AD5" s="983" t="s">
        <v>62</v>
      </c>
      <c r="AE5" s="983"/>
      <c r="AF5" s="983"/>
      <c r="AG5" s="983"/>
      <c r="AH5" s="983"/>
      <c r="AI5" s="983"/>
      <c r="AJ5" s="983"/>
      <c r="AK5" s="983"/>
      <c r="AL5" s="983"/>
      <c r="AM5" s="983"/>
      <c r="AN5" s="983"/>
      <c r="AO5" s="983"/>
      <c r="AP5" s="983"/>
      <c r="AQ5" s="983"/>
      <c r="AR5" s="983"/>
      <c r="AS5" s="983"/>
      <c r="AT5" s="983"/>
      <c r="AU5" s="983"/>
      <c r="AV5" s="983"/>
      <c r="AW5" s="983"/>
      <c r="AX5" s="983"/>
      <c r="AY5" s="983"/>
      <c r="AZ5" s="983"/>
      <c r="BA5" s="983"/>
      <c r="BB5" s="983"/>
      <c r="BC5" s="983"/>
      <c r="BD5" s="983"/>
      <c r="BE5" s="983"/>
      <c r="BF5" s="983"/>
    </row>
    <row r="6" spans="1:58" s="21" customFormat="1" ht="16.5" customHeight="1" thickBot="1">
      <c r="A6" s="989" t="s">
        <v>106</v>
      </c>
      <c r="B6" s="989" t="s">
        <v>310</v>
      </c>
      <c r="C6" s="660"/>
      <c r="D6" s="660"/>
      <c r="E6" s="984" t="s">
        <v>538</v>
      </c>
      <c r="F6" s="985" t="s">
        <v>606</v>
      </c>
      <c r="G6" s="985"/>
      <c r="H6" s="985"/>
      <c r="I6" s="985"/>
      <c r="J6" s="985"/>
      <c r="K6" s="985"/>
      <c r="L6" s="985"/>
      <c r="M6" s="981" t="s">
        <v>605</v>
      </c>
      <c r="N6" s="990" t="s">
        <v>606</v>
      </c>
      <c r="O6" s="991"/>
      <c r="P6" s="991"/>
      <c r="Q6" s="991"/>
      <c r="R6" s="991"/>
      <c r="S6" s="992"/>
      <c r="T6" s="981" t="s">
        <v>650</v>
      </c>
      <c r="U6" s="990" t="s">
        <v>606</v>
      </c>
      <c r="V6" s="991"/>
      <c r="W6" s="991"/>
      <c r="X6" s="991"/>
      <c r="Y6" s="991"/>
      <c r="Z6" s="992"/>
      <c r="AA6" s="981" t="s">
        <v>672</v>
      </c>
      <c r="AB6" s="981" t="s">
        <v>673</v>
      </c>
      <c r="AC6" s="982" t="s">
        <v>677</v>
      </c>
      <c r="AD6" s="984" t="s">
        <v>106</v>
      </c>
      <c r="AE6" s="984" t="s">
        <v>275</v>
      </c>
      <c r="AF6" s="660"/>
      <c r="AG6" s="660"/>
      <c r="AH6" s="984" t="s">
        <v>535</v>
      </c>
      <c r="AI6" s="985" t="s">
        <v>606</v>
      </c>
      <c r="AJ6" s="985"/>
      <c r="AK6" s="985"/>
      <c r="AL6" s="985"/>
      <c r="AM6" s="985"/>
      <c r="AN6" s="985"/>
      <c r="AO6" s="985"/>
      <c r="AP6" s="981" t="s">
        <v>605</v>
      </c>
      <c r="AQ6" s="983" t="s">
        <v>606</v>
      </c>
      <c r="AR6" s="983"/>
      <c r="AS6" s="983"/>
      <c r="AT6" s="983"/>
      <c r="AU6" s="983"/>
      <c r="AV6" s="983"/>
      <c r="AW6" s="981" t="s">
        <v>650</v>
      </c>
      <c r="AX6" s="983" t="s">
        <v>606</v>
      </c>
      <c r="AY6" s="983"/>
      <c r="AZ6" s="983"/>
      <c r="BA6" s="983"/>
      <c r="BB6" s="983"/>
      <c r="BC6" s="983"/>
      <c r="BD6" s="981" t="s">
        <v>672</v>
      </c>
      <c r="BE6" s="981" t="s">
        <v>673</v>
      </c>
      <c r="BF6" s="982" t="s">
        <v>677</v>
      </c>
    </row>
    <row r="7" spans="1:58" s="21" customFormat="1" ht="76" customHeight="1" thickBot="1">
      <c r="A7" s="989"/>
      <c r="B7" s="989"/>
      <c r="C7" s="659" t="s">
        <v>450</v>
      </c>
      <c r="D7" s="659" t="s">
        <v>451</v>
      </c>
      <c r="E7" s="984"/>
      <c r="F7" s="659" t="s">
        <v>536</v>
      </c>
      <c r="G7" s="659" t="s">
        <v>647</v>
      </c>
      <c r="H7" s="659" t="s">
        <v>601</v>
      </c>
      <c r="I7" s="659" t="s">
        <v>602</v>
      </c>
      <c r="J7" s="659" t="s">
        <v>604</v>
      </c>
      <c r="K7" s="659" t="s">
        <v>603</v>
      </c>
      <c r="L7" s="659" t="s">
        <v>537</v>
      </c>
      <c r="M7" s="981"/>
      <c r="N7" s="659" t="s">
        <v>647</v>
      </c>
      <c r="O7" s="659" t="s">
        <v>601</v>
      </c>
      <c r="P7" s="659" t="s">
        <v>602</v>
      </c>
      <c r="Q7" s="659" t="s">
        <v>604</v>
      </c>
      <c r="R7" s="659" t="s">
        <v>603</v>
      </c>
      <c r="S7" s="659" t="s">
        <v>537</v>
      </c>
      <c r="T7" s="981"/>
      <c r="U7" s="708" t="s">
        <v>647</v>
      </c>
      <c r="V7" s="708" t="s">
        <v>601</v>
      </c>
      <c r="W7" s="708" t="s">
        <v>602</v>
      </c>
      <c r="X7" s="708" t="s">
        <v>604</v>
      </c>
      <c r="Y7" s="708" t="s">
        <v>603</v>
      </c>
      <c r="Z7" s="708" t="s">
        <v>537</v>
      </c>
      <c r="AA7" s="981"/>
      <c r="AB7" s="981"/>
      <c r="AC7" s="982"/>
      <c r="AD7" s="984"/>
      <c r="AE7" s="984"/>
      <c r="AF7" s="708" t="s">
        <v>450</v>
      </c>
      <c r="AG7" s="708" t="s">
        <v>451</v>
      </c>
      <c r="AH7" s="984"/>
      <c r="AI7" s="708" t="s">
        <v>536</v>
      </c>
      <c r="AJ7" s="708" t="s">
        <v>647</v>
      </c>
      <c r="AK7" s="708" t="s">
        <v>601</v>
      </c>
      <c r="AL7" s="708" t="s">
        <v>602</v>
      </c>
      <c r="AM7" s="708" t="s">
        <v>604</v>
      </c>
      <c r="AN7" s="708" t="s">
        <v>603</v>
      </c>
      <c r="AO7" s="708" t="s">
        <v>537</v>
      </c>
      <c r="AP7" s="981"/>
      <c r="AQ7" s="708" t="s">
        <v>647</v>
      </c>
      <c r="AR7" s="708" t="s">
        <v>601</v>
      </c>
      <c r="AS7" s="708" t="s">
        <v>602</v>
      </c>
      <c r="AT7" s="708" t="s">
        <v>604</v>
      </c>
      <c r="AU7" s="708" t="s">
        <v>603</v>
      </c>
      <c r="AV7" s="708" t="s">
        <v>537</v>
      </c>
      <c r="AW7" s="981"/>
      <c r="AX7" s="708" t="s">
        <v>647</v>
      </c>
      <c r="AY7" s="708" t="s">
        <v>601</v>
      </c>
      <c r="AZ7" s="708" t="s">
        <v>602</v>
      </c>
      <c r="BA7" s="708" t="s">
        <v>604</v>
      </c>
      <c r="BB7" s="708" t="s">
        <v>603</v>
      </c>
      <c r="BC7" s="708" t="s">
        <v>537</v>
      </c>
      <c r="BD7" s="981"/>
      <c r="BE7" s="981"/>
      <c r="BF7" s="982"/>
    </row>
    <row r="8" spans="1:58" ht="23">
      <c r="A8" s="67" t="s">
        <v>257</v>
      </c>
      <c r="B8" s="68">
        <v>1</v>
      </c>
      <c r="C8" s="69">
        <f>Bevételek!J123</f>
        <v>40800000</v>
      </c>
      <c r="D8" s="69">
        <f>Bevételek!K123</f>
        <v>0</v>
      </c>
      <c r="E8" s="69">
        <f>Bevételek!L123</f>
        <v>40800000</v>
      </c>
      <c r="F8" s="69">
        <f>Bevételek!M123</f>
        <v>0</v>
      </c>
      <c r="G8" s="69">
        <f>Bevételek!N123</f>
        <v>0</v>
      </c>
      <c r="H8" s="69">
        <f>Bevételek!O123</f>
        <v>0</v>
      </c>
      <c r="I8" s="69">
        <f>Bevételek!P123</f>
        <v>0</v>
      </c>
      <c r="J8" s="69">
        <f>Bevételek!Q123</f>
        <v>0</v>
      </c>
      <c r="K8" s="69">
        <f>Bevételek!R123</f>
        <v>0</v>
      </c>
      <c r="L8" s="69">
        <f>Bevételek!S123</f>
        <v>0</v>
      </c>
      <c r="M8" s="69">
        <f>Bevételek!T123</f>
        <v>40800000</v>
      </c>
      <c r="N8" s="69">
        <f>Bevételek!U123</f>
        <v>0</v>
      </c>
      <c r="O8" s="69">
        <f>Bevételek!V123</f>
        <v>0</v>
      </c>
      <c r="P8" s="69">
        <f>Bevételek!W123</f>
        <v>0</v>
      </c>
      <c r="Q8" s="69">
        <f>Bevételek!X123</f>
        <v>0</v>
      </c>
      <c r="R8" s="69">
        <f>Bevételek!Y123</f>
        <v>0</v>
      </c>
      <c r="S8" s="69">
        <f>Bevételek!Z123</f>
        <v>0</v>
      </c>
      <c r="T8" s="69">
        <f>Bevételek!AA123</f>
        <v>40800000</v>
      </c>
      <c r="U8" s="69">
        <f>Bevételek!AB123</f>
        <v>0</v>
      </c>
      <c r="V8" s="69">
        <f>Bevételek!AC123</f>
        <v>0</v>
      </c>
      <c r="W8" s="69">
        <f>Bevételek!AD123</f>
        <v>0</v>
      </c>
      <c r="X8" s="69">
        <f>Bevételek!AE123</f>
        <v>0</v>
      </c>
      <c r="Y8" s="69">
        <f>Bevételek!AF123</f>
        <v>6990434</v>
      </c>
      <c r="Z8" s="69">
        <f>Bevételek!AG123</f>
        <v>6990434</v>
      </c>
      <c r="AA8" s="69">
        <f>Bevételek!AH123</f>
        <v>47790434</v>
      </c>
      <c r="AB8" s="69">
        <f>Bevételek!AI123</f>
        <v>47790434</v>
      </c>
      <c r="AC8" s="830">
        <f>AB8/AA8*100</f>
        <v>100</v>
      </c>
      <c r="AD8" s="177" t="s">
        <v>107</v>
      </c>
      <c r="AE8" s="70" t="s">
        <v>314</v>
      </c>
      <c r="AF8" s="71">
        <f>Kiadások!J78+Kiadások!J80+Kiadások!J82+Kiadások!J115+Kiadások!J117+Kiadások!J119+Kiadások!J156+Kiadások!J159+Kiadások!J162</f>
        <v>73761877</v>
      </c>
      <c r="AG8" s="71">
        <f>Kiadások!K78+Kiadások!K80+Kiadások!K82+Kiadások!K115+Kiadások!K117+Kiadások!K119+Kiadások!K156+Kiadások!K159+Kiadások!K162</f>
        <v>0</v>
      </c>
      <c r="AH8" s="71">
        <f>Kiadások!L78+Kiadások!L80+Kiadások!L82+Kiadások!L115+Kiadások!L117+Kiadások!L119+Kiadások!L156+Kiadások!L159+Kiadások!L162</f>
        <v>73761877</v>
      </c>
      <c r="AI8" s="71">
        <f>Kiadások!M78+Kiadások!M80+Kiadások!M82+Kiadások!M115+Kiadások!M117+Kiadások!M119+Kiadások!M156+Kiadások!M159+Kiadások!M162</f>
        <v>5668105</v>
      </c>
      <c r="AJ8" s="71">
        <f>Kiadások!N78+Kiadások!N80+Kiadások!N82+Kiadások!N115+Kiadások!N117+Kiadások!N119+Kiadások!N156+Kiadások!N159+Kiadások!N162</f>
        <v>0</v>
      </c>
      <c r="AK8" s="71">
        <f>Kiadások!O78+Kiadások!O80+Kiadások!O82+Kiadások!O115+Kiadások!O117+Kiadások!O119+Kiadások!O156+Kiadások!O159+Kiadások!O162</f>
        <v>0</v>
      </c>
      <c r="AL8" s="71">
        <f>Kiadások!P78+Kiadások!P80+Kiadások!P82+Kiadások!P115+Kiadások!P117+Kiadások!P119+Kiadások!P156+Kiadások!P159+Kiadások!P162</f>
        <v>0</v>
      </c>
      <c r="AM8" s="71">
        <f>Kiadások!Q78+Kiadások!Q80+Kiadások!Q82+Kiadások!Q115+Kiadások!Q117+Kiadások!Q119+Kiadások!Q156+Kiadások!Q159+Kiadások!Q162</f>
        <v>214646</v>
      </c>
      <c r="AN8" s="71">
        <f>Kiadások!R78+Kiadások!R80+Kiadások!R82+Kiadások!R115+Kiadások!R117+Kiadások!R119+Kiadások!R156+Kiadások!R159+Kiadások!R162</f>
        <v>0</v>
      </c>
      <c r="AO8" s="71">
        <f>Kiadások!S78+Kiadások!S80+Kiadások!S82+Kiadások!S115+Kiadások!S117+Kiadások!S119+Kiadások!S156+Kiadások!S159+Kiadások!S162</f>
        <v>5882751</v>
      </c>
      <c r="AP8" s="71">
        <f>Kiadások!T78+Kiadások!T80+Kiadások!T82+Kiadások!T115+Kiadások!T117+Kiadások!T119+Kiadások!T156+Kiadások!T159+Kiadások!T162</f>
        <v>79644628</v>
      </c>
      <c r="AQ8" s="71">
        <f>Kiadások!U78+Kiadások!U80+Kiadások!U82+Kiadások!U115+Kiadások!U117+Kiadások!U119+Kiadások!U156+Kiadások!U159+Kiadások!U162</f>
        <v>0</v>
      </c>
      <c r="AR8" s="71">
        <f>Kiadások!V78+Kiadások!V80+Kiadások!V82+Kiadások!V115+Kiadások!V117+Kiadások!V119+Kiadások!V156+Kiadások!V159+Kiadások!V162</f>
        <v>0</v>
      </c>
      <c r="AS8" s="71">
        <f>Kiadások!W78+Kiadások!W80+Kiadások!W82+Kiadások!W115+Kiadások!W117+Kiadások!W119+Kiadások!W156+Kiadások!W159+Kiadások!W162</f>
        <v>0</v>
      </c>
      <c r="AT8" s="71">
        <f>Kiadások!X78+Kiadások!X80+Kiadások!X82+Kiadások!X115+Kiadások!X117+Kiadások!X119+Kiadások!X156+Kiadások!X159+Kiadások!X162</f>
        <v>103605</v>
      </c>
      <c r="AU8" s="71">
        <f>Kiadások!Y78+Kiadások!Y80+Kiadások!Y82+Kiadások!Y115+Kiadások!Y117+Kiadások!Y119+Kiadások!Y156+Kiadások!Y159+Kiadások!Y162</f>
        <v>287350</v>
      </c>
      <c r="AV8" s="71">
        <f>Kiadások!Z78+Kiadások!Z80+Kiadások!Z82+Kiadások!Z115+Kiadások!Z117+Kiadások!Z119+Kiadások!Z156+Kiadások!Z159+Kiadások!Z162</f>
        <v>390955</v>
      </c>
      <c r="AW8" s="71">
        <f>Kiadások!AA78+Kiadások!AA80+Kiadások!AA82+Kiadások!AA115+Kiadások!AA117+Kiadások!AA119+Kiadások!AA156+Kiadások!AA159+Kiadások!AA162</f>
        <v>80035583</v>
      </c>
      <c r="AX8" s="71">
        <f>Kiadások!AB78+Kiadások!AB80+Kiadások!AB82+Kiadások!AB115+Kiadások!AB117+Kiadások!AB119+Kiadások!AB156+Kiadások!AB159+Kiadások!AB162</f>
        <v>0</v>
      </c>
      <c r="AY8" s="71">
        <f>Kiadások!AC78+Kiadások!AC80+Kiadások!AC82+Kiadások!AC115+Kiadások!AC117+Kiadások!AC119+Kiadások!AC156+Kiadások!AC159+Kiadások!AC162</f>
        <v>3067200</v>
      </c>
      <c r="AZ8" s="71">
        <f>Kiadások!AD78+Kiadások!AD80+Kiadások!AD82+Kiadások!AD115+Kiadások!AD117+Kiadások!AD119+Kiadások!AD156+Kiadások!AD159+Kiadások!AD162</f>
        <v>0</v>
      </c>
      <c r="BA8" s="71">
        <f>Kiadások!AE78+Kiadások!AE80+Kiadások!AE82+Kiadások!AE115+Kiadások!AE117+Kiadások!AE119+Kiadások!AE156+Kiadások!AE159+Kiadások!AE162</f>
        <v>103608</v>
      </c>
      <c r="BB8" s="71">
        <f>Kiadások!AF78+Kiadások!AF80+Kiadások!AF82+Kiadások!AF115+Kiadások!AF117+Kiadások!AF119+Kiadások!AF156+Kiadások!AF159+Kiadások!AF162</f>
        <v>7253839</v>
      </c>
      <c r="BC8" s="71">
        <f>Kiadások!AG78+Kiadások!AG80+Kiadások!AG82+Kiadások!AG115+Kiadások!AG117+Kiadások!AG119+Kiadások!AG156+Kiadások!AG159+Kiadások!AG162</f>
        <v>10424647</v>
      </c>
      <c r="BD8" s="71">
        <f>Kiadások!AH78+Kiadások!AH80+Kiadások!AH82+Kiadások!AH115+Kiadások!AH117+Kiadások!AH119+Kiadások!AH156+Kiadások!AH159+Kiadások!AH162</f>
        <v>90460230</v>
      </c>
      <c r="BE8" s="71">
        <f>Kiadások!AI78+Kiadások!AI80+Kiadások!AI82+Kiadások!AI115+Kiadások!AI117+Kiadások!AI119+Kiadások!AI156+Kiadások!AI159+Kiadások!AI162</f>
        <v>47677501</v>
      </c>
      <c r="BF8" s="823">
        <f>BE8/BD8*100</f>
        <v>52.705482840359799</v>
      </c>
    </row>
    <row r="9" spans="1:58" ht="23">
      <c r="A9" s="72" t="s">
        <v>267</v>
      </c>
      <c r="B9" s="73">
        <v>1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831"/>
      <c r="AD9" s="178" t="s">
        <v>238</v>
      </c>
      <c r="AE9" s="75">
        <v>6</v>
      </c>
      <c r="AF9" s="76">
        <f>Kiadások!J124</f>
        <v>0</v>
      </c>
      <c r="AG9" s="76">
        <f>Kiadások!K124+Kiadások!K166</f>
        <v>13835000</v>
      </c>
      <c r="AH9" s="76">
        <f>Kiadások!L124+Kiadások!L166</f>
        <v>13835000</v>
      </c>
      <c r="AI9" s="76">
        <f>Kiadások!M124+Kiadások!M166</f>
        <v>1000000</v>
      </c>
      <c r="AJ9" s="76">
        <f>Kiadások!N124+Kiadások!N166</f>
        <v>0</v>
      </c>
      <c r="AK9" s="76">
        <f>Kiadások!O124+Kiadások!O166</f>
        <v>0</v>
      </c>
      <c r="AL9" s="76">
        <f>Kiadások!P124+Kiadások!P166</f>
        <v>0</v>
      </c>
      <c r="AM9" s="76">
        <f>Kiadások!Q124+Kiadások!Q166</f>
        <v>0</v>
      </c>
      <c r="AN9" s="76">
        <f>Kiadások!R124+Kiadások!R166</f>
        <v>0</v>
      </c>
      <c r="AO9" s="76">
        <f>Kiadások!S124+Kiadások!S166</f>
        <v>1000000</v>
      </c>
      <c r="AP9" s="76">
        <f>Kiadások!T124+Kiadások!T166</f>
        <v>14835000</v>
      </c>
      <c r="AQ9" s="76">
        <f>Kiadások!U124+Kiadások!U166</f>
        <v>0</v>
      </c>
      <c r="AR9" s="76">
        <f>Kiadások!V124+Kiadások!V166</f>
        <v>0</v>
      </c>
      <c r="AS9" s="76">
        <f>Kiadások!W124+Kiadások!W166</f>
        <v>0</v>
      </c>
      <c r="AT9" s="76">
        <f>Kiadások!X124+Kiadások!X166</f>
        <v>0</v>
      </c>
      <c r="AU9" s="76">
        <f>Kiadások!Y124+Kiadások!Y166</f>
        <v>0</v>
      </c>
      <c r="AV9" s="76">
        <f>Kiadások!Z124+Kiadások!Z166</f>
        <v>0</v>
      </c>
      <c r="AW9" s="76">
        <f>Kiadások!AA124+Kiadások!AA166</f>
        <v>14835000</v>
      </c>
      <c r="AX9" s="76">
        <f>Kiadások!AB124+Kiadások!AB166</f>
        <v>0</v>
      </c>
      <c r="AY9" s="76">
        <f>Kiadások!AC124+Kiadások!AC166</f>
        <v>0</v>
      </c>
      <c r="AZ9" s="76">
        <f>Kiadások!AD124+Kiadások!AD166</f>
        <v>0</v>
      </c>
      <c r="BA9" s="76">
        <f>Kiadások!AE124+Kiadások!AE166</f>
        <v>0</v>
      </c>
      <c r="BB9" s="76">
        <f>Kiadások!AF124+Kiadások!AF166</f>
        <v>293480</v>
      </c>
      <c r="BC9" s="76">
        <f>Kiadások!AG124+Kiadások!AG166</f>
        <v>293480</v>
      </c>
      <c r="BD9" s="76">
        <f>Kiadások!AH124+Kiadások!AH166</f>
        <v>15128480</v>
      </c>
      <c r="BE9" s="76">
        <f>Kiadások!AI124+Kiadások!AI166</f>
        <v>11605023</v>
      </c>
      <c r="BF9" s="824">
        <f>BE9/BD9*100</f>
        <v>76.709775205440337</v>
      </c>
    </row>
    <row r="10" spans="1:58" ht="23">
      <c r="A10" s="72" t="s">
        <v>522</v>
      </c>
      <c r="B10" s="73">
        <v>2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831"/>
      <c r="AD10" s="178" t="s">
        <v>237</v>
      </c>
      <c r="AE10" s="75">
        <v>7</v>
      </c>
      <c r="AF10" s="76">
        <f>Kiadások!J126</f>
        <v>0</v>
      </c>
      <c r="AG10" s="76">
        <f>Kiadások!K126</f>
        <v>0</v>
      </c>
      <c r="AH10" s="76">
        <f>Kiadások!L126</f>
        <v>0</v>
      </c>
      <c r="AI10" s="76">
        <f>Kiadások!M126</f>
        <v>0</v>
      </c>
      <c r="AJ10" s="76">
        <f>Kiadások!N126</f>
        <v>0</v>
      </c>
      <c r="AK10" s="76">
        <f>Kiadások!O126</f>
        <v>0</v>
      </c>
      <c r="AL10" s="76">
        <f>Kiadások!P126</f>
        <v>0</v>
      </c>
      <c r="AM10" s="76">
        <f>Kiadások!Q126</f>
        <v>0</v>
      </c>
      <c r="AN10" s="76">
        <f>Kiadások!R126</f>
        <v>0</v>
      </c>
      <c r="AO10" s="76">
        <f>Kiadások!S126</f>
        <v>0</v>
      </c>
      <c r="AP10" s="76">
        <f>Kiadások!T126</f>
        <v>0</v>
      </c>
      <c r="AQ10" s="76">
        <f>Kiadások!U126</f>
        <v>0</v>
      </c>
      <c r="AR10" s="76">
        <f>Kiadások!V126</f>
        <v>0</v>
      </c>
      <c r="AS10" s="76">
        <f>Kiadások!W126</f>
        <v>0</v>
      </c>
      <c r="AT10" s="76">
        <f>Kiadások!X126</f>
        <v>0</v>
      </c>
      <c r="AU10" s="76">
        <f>Kiadások!Y126</f>
        <v>0</v>
      </c>
      <c r="AV10" s="76">
        <f>Kiadások!Z126</f>
        <v>0</v>
      </c>
      <c r="AW10" s="76">
        <f>Kiadások!AA126</f>
        <v>0</v>
      </c>
      <c r="AX10" s="76">
        <f>Kiadások!AB126</f>
        <v>0</v>
      </c>
      <c r="AY10" s="76">
        <f>Kiadások!AC126</f>
        <v>0</v>
      </c>
      <c r="AZ10" s="76">
        <f>Kiadások!AD126</f>
        <v>0</v>
      </c>
      <c r="BA10" s="76">
        <f>Kiadások!AE126</f>
        <v>0</v>
      </c>
      <c r="BB10" s="76">
        <f>Kiadások!AF126</f>
        <v>0</v>
      </c>
      <c r="BC10" s="76">
        <f>Kiadások!AG126</f>
        <v>0</v>
      </c>
      <c r="BD10" s="76">
        <f>Kiadások!AH126</f>
        <v>0</v>
      </c>
      <c r="BE10" s="76">
        <f>Kiadások!AI126</f>
        <v>0</v>
      </c>
      <c r="BF10" s="824"/>
    </row>
    <row r="11" spans="1:58" ht="23">
      <c r="A11" s="72" t="s">
        <v>321</v>
      </c>
      <c r="B11" s="73">
        <v>2</v>
      </c>
      <c r="C11" s="74"/>
      <c r="D11" s="74">
        <f>Bevételek!K124</f>
        <v>13200000</v>
      </c>
      <c r="E11" s="74">
        <f>Bevételek!L124</f>
        <v>13200000</v>
      </c>
      <c r="F11" s="74">
        <f>Bevételek!M124</f>
        <v>0</v>
      </c>
      <c r="G11" s="74">
        <f>Bevételek!N124</f>
        <v>0</v>
      </c>
      <c r="H11" s="74">
        <f>Bevételek!O124</f>
        <v>0</v>
      </c>
      <c r="I11" s="74">
        <f>Bevételek!P124</f>
        <v>0</v>
      </c>
      <c r="J11" s="74">
        <f>Bevételek!Q124</f>
        <v>0</v>
      </c>
      <c r="K11" s="74">
        <f>Bevételek!R124</f>
        <v>0</v>
      </c>
      <c r="L11" s="74">
        <f>Bevételek!S124</f>
        <v>0</v>
      </c>
      <c r="M11" s="74">
        <f>Bevételek!T124</f>
        <v>13200000</v>
      </c>
      <c r="N11" s="74">
        <f>Bevételek!U124</f>
        <v>0</v>
      </c>
      <c r="O11" s="74">
        <f>Bevételek!V124</f>
        <v>0</v>
      </c>
      <c r="P11" s="74">
        <f>Bevételek!W124</f>
        <v>0</v>
      </c>
      <c r="Q11" s="74">
        <f>Bevételek!X124</f>
        <v>0</v>
      </c>
      <c r="R11" s="74">
        <f>Bevételek!Y124</f>
        <v>0</v>
      </c>
      <c r="S11" s="74">
        <f>Bevételek!Z124</f>
        <v>0</v>
      </c>
      <c r="T11" s="74">
        <f>Bevételek!AA124</f>
        <v>13200000</v>
      </c>
      <c r="U11" s="74">
        <f>Bevételek!AB124</f>
        <v>0</v>
      </c>
      <c r="V11" s="74">
        <f>Bevételek!AC124</f>
        <v>0</v>
      </c>
      <c r="W11" s="74">
        <f>Bevételek!AD124</f>
        <v>0</v>
      </c>
      <c r="X11" s="74">
        <f>Bevételek!AE124</f>
        <v>0</v>
      </c>
      <c r="Y11" s="74">
        <f>Bevételek!AF124</f>
        <v>293480</v>
      </c>
      <c r="Z11" s="74">
        <f>Bevételek!AG124</f>
        <v>293480</v>
      </c>
      <c r="AA11" s="74">
        <f>Bevételek!AH124</f>
        <v>13493480</v>
      </c>
      <c r="AB11" s="74">
        <f>Bevételek!AI124</f>
        <v>13493480</v>
      </c>
      <c r="AC11" s="831">
        <f>AB11/AA11*100</f>
        <v>100</v>
      </c>
      <c r="AD11" s="178" t="s">
        <v>523</v>
      </c>
      <c r="AE11" s="35">
        <v>8</v>
      </c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824"/>
    </row>
    <row r="12" spans="1:58">
      <c r="A12" s="72" t="s">
        <v>530</v>
      </c>
      <c r="B12" s="73">
        <v>3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831"/>
      <c r="AD12" s="179"/>
      <c r="AE12" s="58"/>
      <c r="AF12" s="76"/>
      <c r="AG12" s="76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824"/>
    </row>
    <row r="13" spans="1:58">
      <c r="A13" s="72" t="s">
        <v>531</v>
      </c>
      <c r="B13" s="73">
        <v>4</v>
      </c>
      <c r="C13" s="74">
        <f>Bevételek!J88</f>
        <v>8496000</v>
      </c>
      <c r="D13" s="74"/>
      <c r="E13" s="74">
        <f>Bevételek!L88</f>
        <v>8496000</v>
      </c>
      <c r="F13" s="74">
        <f>Bevételek!M88</f>
        <v>0</v>
      </c>
      <c r="G13" s="74">
        <f>Bevételek!N88</f>
        <v>0</v>
      </c>
      <c r="H13" s="74">
        <f>Bevételek!O88</f>
        <v>0</v>
      </c>
      <c r="I13" s="74">
        <f>Bevételek!P88</f>
        <v>0</v>
      </c>
      <c r="J13" s="74">
        <f>Bevételek!Q88</f>
        <v>0</v>
      </c>
      <c r="K13" s="74">
        <f>Bevételek!R88</f>
        <v>0</v>
      </c>
      <c r="L13" s="74">
        <f>Bevételek!S88</f>
        <v>0</v>
      </c>
      <c r="M13" s="74">
        <f>Bevételek!T88</f>
        <v>8496000</v>
      </c>
      <c r="N13" s="74">
        <f>Bevételek!U88</f>
        <v>0</v>
      </c>
      <c r="O13" s="74">
        <f>Bevételek!V88</f>
        <v>0</v>
      </c>
      <c r="P13" s="74">
        <f>Bevételek!W88</f>
        <v>0</v>
      </c>
      <c r="Q13" s="74">
        <f>Bevételek!X88</f>
        <v>0</v>
      </c>
      <c r="R13" s="74">
        <f>Bevételek!Y88</f>
        <v>0</v>
      </c>
      <c r="S13" s="74">
        <f>Bevételek!Z88</f>
        <v>0</v>
      </c>
      <c r="T13" s="74">
        <f>Bevételek!AA88</f>
        <v>8496000</v>
      </c>
      <c r="U13" s="74">
        <f>Bevételek!AB88</f>
        <v>0</v>
      </c>
      <c r="V13" s="74">
        <f>Bevételek!AC88</f>
        <v>0</v>
      </c>
      <c r="W13" s="74">
        <f>Bevételek!AD88</f>
        <v>0</v>
      </c>
      <c r="X13" s="74">
        <f>Bevételek!AE88</f>
        <v>0</v>
      </c>
      <c r="Y13" s="74">
        <f>Bevételek!AF88</f>
        <v>0</v>
      </c>
      <c r="Z13" s="74">
        <f>Bevételek!AG88</f>
        <v>0</v>
      </c>
      <c r="AA13" s="74">
        <f>Bevételek!AH88</f>
        <v>8496000</v>
      </c>
      <c r="AB13" s="74">
        <f>Bevételek!AI88</f>
        <v>7741961</v>
      </c>
      <c r="AC13" s="831">
        <f>AB13/AA13*100</f>
        <v>91.12477636534841</v>
      </c>
      <c r="AD13" s="178"/>
      <c r="AE13" s="75"/>
      <c r="AF13" s="76"/>
      <c r="AG13" s="76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824"/>
    </row>
    <row r="14" spans="1:58">
      <c r="A14" s="72" t="s">
        <v>377</v>
      </c>
      <c r="B14" s="73">
        <v>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831"/>
      <c r="AD14" s="178"/>
      <c r="AE14" s="75"/>
      <c r="AF14" s="76"/>
      <c r="AG14" s="76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824"/>
    </row>
    <row r="15" spans="1:58">
      <c r="A15" s="72" t="s">
        <v>532</v>
      </c>
      <c r="B15" s="73">
        <v>6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>
        <f>Bevételek!T59</f>
        <v>0</v>
      </c>
      <c r="N15" s="74">
        <f>Bevételek!U59</f>
        <v>0</v>
      </c>
      <c r="O15" s="74">
        <f>Bevételek!V59</f>
        <v>0</v>
      </c>
      <c r="P15" s="74">
        <f>Bevételek!W59</f>
        <v>0</v>
      </c>
      <c r="Q15" s="74">
        <f>Bevételek!X59</f>
        <v>0</v>
      </c>
      <c r="R15" s="74">
        <f>Bevételek!Y59</f>
        <v>287350</v>
      </c>
      <c r="S15" s="74">
        <f>Bevételek!Z59</f>
        <v>287350</v>
      </c>
      <c r="T15" s="74">
        <f>Bevételek!AA59</f>
        <v>287350</v>
      </c>
      <c r="U15" s="74">
        <f>Bevételek!AB59</f>
        <v>0</v>
      </c>
      <c r="V15" s="74">
        <f>Bevételek!AC59</f>
        <v>0</v>
      </c>
      <c r="W15" s="74">
        <f>Bevételek!AD59</f>
        <v>0</v>
      </c>
      <c r="X15" s="74">
        <f>Bevételek!AE59</f>
        <v>0</v>
      </c>
      <c r="Y15" s="74">
        <f>Bevételek!AF59</f>
        <v>263405</v>
      </c>
      <c r="Z15" s="74">
        <f>Bevételek!AG59</f>
        <v>263405</v>
      </c>
      <c r="AA15" s="74">
        <f>Bevételek!AH59</f>
        <v>550755</v>
      </c>
      <c r="AB15" s="74">
        <f>Bevételek!AI59</f>
        <v>550755</v>
      </c>
      <c r="AC15" s="831">
        <f>AB15/AA15*100</f>
        <v>100</v>
      </c>
      <c r="AD15" s="178"/>
      <c r="AE15" s="75"/>
      <c r="AF15" s="76"/>
      <c r="AG15" s="76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824"/>
    </row>
    <row r="16" spans="1:58">
      <c r="A16" s="72" t="s">
        <v>319</v>
      </c>
      <c r="B16" s="73">
        <v>7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831"/>
      <c r="AD16" s="178"/>
      <c r="AE16" s="75"/>
      <c r="AF16" s="76"/>
      <c r="AG16" s="76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824"/>
    </row>
    <row r="17" spans="1:58" ht="23">
      <c r="A17" s="72" t="s">
        <v>595</v>
      </c>
      <c r="B17" s="73">
        <v>8</v>
      </c>
      <c r="C17" s="74"/>
      <c r="D17" s="74"/>
      <c r="E17" s="74"/>
      <c r="F17" s="74">
        <f>Bevételek!M63+Bevételek!M96</f>
        <v>6668105</v>
      </c>
      <c r="G17" s="74">
        <f>Bevételek!N63+Bevételek!N96</f>
        <v>0</v>
      </c>
      <c r="H17" s="74">
        <f>Bevételek!O63+Bevételek!O96</f>
        <v>0</v>
      </c>
      <c r="I17" s="74">
        <f>Bevételek!P63+Bevételek!P96</f>
        <v>0</v>
      </c>
      <c r="J17" s="74">
        <f>Bevételek!Q63+Bevételek!Q96</f>
        <v>0</v>
      </c>
      <c r="K17" s="74">
        <f>Bevételek!R63+Bevételek!R96</f>
        <v>0</v>
      </c>
      <c r="L17" s="74">
        <f>Bevételek!S63+Bevételek!S96</f>
        <v>6668105</v>
      </c>
      <c r="M17" s="74">
        <f>Bevételek!T63+Bevételek!T96</f>
        <v>6668105</v>
      </c>
      <c r="N17" s="74">
        <f>Bevételek!U63+Bevételek!U96</f>
        <v>0</v>
      </c>
      <c r="O17" s="74">
        <f>Bevételek!V63+Bevételek!V96</f>
        <v>0</v>
      </c>
      <c r="P17" s="74">
        <f>Bevételek!W63+Bevételek!W96</f>
        <v>0</v>
      </c>
      <c r="Q17" s="74">
        <f>Bevételek!X63+Bevételek!X96</f>
        <v>0</v>
      </c>
      <c r="R17" s="74">
        <f>Bevételek!Y63+Bevételek!Y96</f>
        <v>0</v>
      </c>
      <c r="S17" s="74">
        <f>Bevételek!Z63+Bevételek!Z96</f>
        <v>0</v>
      </c>
      <c r="T17" s="74">
        <f>Bevételek!AA63+Bevételek!AA96</f>
        <v>6668105</v>
      </c>
      <c r="U17" s="74">
        <f>Bevételek!AB63+Bevételek!AB96</f>
        <v>0</v>
      </c>
      <c r="V17" s="74">
        <f>Bevételek!AC63+Bevételek!AC96</f>
        <v>0</v>
      </c>
      <c r="W17" s="74">
        <f>Bevételek!AD63+Bevételek!AD96</f>
        <v>0</v>
      </c>
      <c r="X17" s="74">
        <f>Bevételek!AE63+Bevételek!AE96</f>
        <v>0</v>
      </c>
      <c r="Y17" s="74">
        <f>Bevételek!AF63+Bevételek!AF96</f>
        <v>0</v>
      </c>
      <c r="Z17" s="74">
        <f>Bevételek!AG63+Bevételek!AG96</f>
        <v>0</v>
      </c>
      <c r="AA17" s="74">
        <f>Bevételek!AH63+Bevételek!AH96</f>
        <v>6668105</v>
      </c>
      <c r="AB17" s="74">
        <f>Bevételek!AI63+Bevételek!AI96</f>
        <v>6668105</v>
      </c>
      <c r="AC17" s="831">
        <f>AB17/AA17*100</f>
        <v>100</v>
      </c>
      <c r="AD17" s="178"/>
      <c r="AE17" s="75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824"/>
    </row>
    <row r="18" spans="1:58">
      <c r="A18" s="77" t="s">
        <v>20</v>
      </c>
      <c r="B18" s="78"/>
      <c r="C18" s="81">
        <f>SUM(C8:C16)</f>
        <v>49296000</v>
      </c>
      <c r="D18" s="81">
        <f t="shared" ref="D18" si="0">SUM(D8:D16)</f>
        <v>13200000</v>
      </c>
      <c r="E18" s="81">
        <f>SUM(E8:E17)</f>
        <v>62496000</v>
      </c>
      <c r="F18" s="81">
        <f t="shared" ref="F18:M18" si="1">SUM(F8:F17)</f>
        <v>6668105</v>
      </c>
      <c r="G18" s="81">
        <f t="shared" si="1"/>
        <v>0</v>
      </c>
      <c r="H18" s="81">
        <f t="shared" si="1"/>
        <v>0</v>
      </c>
      <c r="I18" s="81">
        <f t="shared" si="1"/>
        <v>0</v>
      </c>
      <c r="J18" s="81">
        <f t="shared" si="1"/>
        <v>0</v>
      </c>
      <c r="K18" s="81">
        <f t="shared" si="1"/>
        <v>0</v>
      </c>
      <c r="L18" s="81">
        <f t="shared" si="1"/>
        <v>6668105</v>
      </c>
      <c r="M18" s="81">
        <f t="shared" si="1"/>
        <v>69164105</v>
      </c>
      <c r="N18" s="81">
        <f t="shared" ref="N18:T18" si="2">SUM(N8:N17)</f>
        <v>0</v>
      </c>
      <c r="O18" s="81">
        <f t="shared" si="2"/>
        <v>0</v>
      </c>
      <c r="P18" s="81">
        <f t="shared" si="2"/>
        <v>0</v>
      </c>
      <c r="Q18" s="81">
        <f t="shared" si="2"/>
        <v>0</v>
      </c>
      <c r="R18" s="81">
        <f t="shared" si="2"/>
        <v>287350</v>
      </c>
      <c r="S18" s="81">
        <f t="shared" si="2"/>
        <v>287350</v>
      </c>
      <c r="T18" s="81">
        <f t="shared" si="2"/>
        <v>69451455</v>
      </c>
      <c r="U18" s="81">
        <f t="shared" ref="U18:AB18" si="3">SUM(U8:U17)</f>
        <v>0</v>
      </c>
      <c r="V18" s="81">
        <f t="shared" si="3"/>
        <v>0</v>
      </c>
      <c r="W18" s="81">
        <f t="shared" si="3"/>
        <v>0</v>
      </c>
      <c r="X18" s="81">
        <f t="shared" si="3"/>
        <v>0</v>
      </c>
      <c r="Y18" s="81">
        <f t="shared" si="3"/>
        <v>7547319</v>
      </c>
      <c r="Z18" s="81">
        <f t="shared" si="3"/>
        <v>7547319</v>
      </c>
      <c r="AA18" s="81">
        <f t="shared" si="3"/>
        <v>76998774</v>
      </c>
      <c r="AB18" s="81">
        <f t="shared" si="3"/>
        <v>76244735</v>
      </c>
      <c r="AC18" s="844">
        <f>AB18/AA18*100</f>
        <v>99.020712979144321</v>
      </c>
      <c r="AD18" s="180" t="s">
        <v>21</v>
      </c>
      <c r="AE18" s="80"/>
      <c r="AF18" s="81">
        <f>SUM(AF8:AF13)</f>
        <v>73761877</v>
      </c>
      <c r="AG18" s="81">
        <f>SUM(AG8:AG13)</f>
        <v>13835000</v>
      </c>
      <c r="AH18" s="81">
        <f>SUM(AH8:AH13)</f>
        <v>87596877</v>
      </c>
      <c r="AI18" s="81">
        <f t="shared" ref="AI18:AP18" si="4">SUM(AI8:AI13)</f>
        <v>6668105</v>
      </c>
      <c r="AJ18" s="81">
        <f t="shared" si="4"/>
        <v>0</v>
      </c>
      <c r="AK18" s="81">
        <f t="shared" si="4"/>
        <v>0</v>
      </c>
      <c r="AL18" s="81">
        <f t="shared" si="4"/>
        <v>0</v>
      </c>
      <c r="AM18" s="81">
        <f t="shared" si="4"/>
        <v>214646</v>
      </c>
      <c r="AN18" s="81">
        <f t="shared" si="4"/>
        <v>0</v>
      </c>
      <c r="AO18" s="81">
        <f t="shared" si="4"/>
        <v>6882751</v>
      </c>
      <c r="AP18" s="81">
        <f t="shared" si="4"/>
        <v>94479628</v>
      </c>
      <c r="AQ18" s="81">
        <f t="shared" ref="AQ18:AW18" si="5">SUM(AQ8:AQ13)</f>
        <v>0</v>
      </c>
      <c r="AR18" s="81">
        <f t="shared" si="5"/>
        <v>0</v>
      </c>
      <c r="AS18" s="81">
        <f t="shared" si="5"/>
        <v>0</v>
      </c>
      <c r="AT18" s="81">
        <f t="shared" si="5"/>
        <v>103605</v>
      </c>
      <c r="AU18" s="81">
        <f t="shared" si="5"/>
        <v>287350</v>
      </c>
      <c r="AV18" s="81">
        <f t="shared" si="5"/>
        <v>390955</v>
      </c>
      <c r="AW18" s="81">
        <f t="shared" si="5"/>
        <v>94870583</v>
      </c>
      <c r="AX18" s="81">
        <f t="shared" ref="AX18:BE18" si="6">SUM(AX8:AX13)</f>
        <v>0</v>
      </c>
      <c r="AY18" s="81">
        <f t="shared" si="6"/>
        <v>3067200</v>
      </c>
      <c r="AZ18" s="81">
        <f t="shared" si="6"/>
        <v>0</v>
      </c>
      <c r="BA18" s="81">
        <f t="shared" si="6"/>
        <v>103608</v>
      </c>
      <c r="BB18" s="81">
        <f t="shared" si="6"/>
        <v>7547319</v>
      </c>
      <c r="BC18" s="81">
        <f t="shared" si="6"/>
        <v>10718127</v>
      </c>
      <c r="BD18" s="81">
        <f t="shared" si="6"/>
        <v>105588710</v>
      </c>
      <c r="BE18" s="81">
        <f t="shared" si="6"/>
        <v>59282524</v>
      </c>
      <c r="BF18" s="848">
        <f>BE18/BD18*100</f>
        <v>56.144756385412798</v>
      </c>
    </row>
    <row r="19" spans="1:58">
      <c r="A19" s="82"/>
      <c r="B19" s="83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833"/>
      <c r="AD19" s="180"/>
      <c r="AE19" s="80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49"/>
    </row>
    <row r="20" spans="1:58" ht="23">
      <c r="A20" s="82" t="s">
        <v>373</v>
      </c>
      <c r="B20" s="83">
        <v>3</v>
      </c>
      <c r="C20" s="151">
        <f>Bevételek!J162+Bevételek!J150+Bevételek!J146</f>
        <v>3602746974</v>
      </c>
      <c r="D20" s="151"/>
      <c r="E20" s="151">
        <f>Bevételek!L162+Bevételek!L150+Bevételek!L146</f>
        <v>3602746974</v>
      </c>
      <c r="F20" s="151">
        <f>Bevételek!M162+Bevételek!M150+Bevételek!M146</f>
        <v>0</v>
      </c>
      <c r="G20" s="151">
        <f>Bevételek!N162+Bevételek!N150+Bevételek!N146</f>
        <v>0</v>
      </c>
      <c r="H20" s="151">
        <f>Bevételek!O162+Bevételek!O150+Bevételek!O146</f>
        <v>0</v>
      </c>
      <c r="I20" s="151">
        <f>Bevételek!P162+Bevételek!P150+Bevételek!P146</f>
        <v>0</v>
      </c>
      <c r="J20" s="151">
        <f>Bevételek!Q162+Bevételek!Q150+Bevételek!Q146</f>
        <v>0</v>
      </c>
      <c r="K20" s="151">
        <f>Bevételek!R162+Bevételek!R150+Bevételek!R146</f>
        <v>0</v>
      </c>
      <c r="L20" s="151">
        <f>Bevételek!S162+Bevételek!S150+Bevételek!S146</f>
        <v>0</v>
      </c>
      <c r="M20" s="151">
        <f>Bevételek!T162+Bevételek!T150+Bevételek!T146</f>
        <v>3602746974</v>
      </c>
      <c r="N20" s="151">
        <f>Bevételek!U162+Bevételek!U150+Bevételek!U146</f>
        <v>0</v>
      </c>
      <c r="O20" s="151">
        <f>Bevételek!V162+Bevételek!V150+Bevételek!V146</f>
        <v>0</v>
      </c>
      <c r="P20" s="151">
        <f>Bevételek!W162+Bevételek!W150+Bevételek!W146</f>
        <v>0</v>
      </c>
      <c r="Q20" s="151">
        <f>Bevételek!X162+Bevételek!X150+Bevételek!X146</f>
        <v>0</v>
      </c>
      <c r="R20" s="151">
        <f>Bevételek!Y162+Bevételek!Y150+Bevételek!Y146</f>
        <v>0</v>
      </c>
      <c r="S20" s="151">
        <f>Bevételek!Z162+Bevételek!Z150+Bevételek!Z146</f>
        <v>0</v>
      </c>
      <c r="T20" s="151">
        <f>Bevételek!AA162+Bevételek!AA150+Bevételek!AA146</f>
        <v>3602746974</v>
      </c>
      <c r="U20" s="151">
        <f>Bevételek!AB162+Bevételek!AB150+Bevételek!AB146</f>
        <v>0</v>
      </c>
      <c r="V20" s="151">
        <f>Bevételek!AC162+Bevételek!AC150+Bevételek!AC146</f>
        <v>31505394</v>
      </c>
      <c r="W20" s="151">
        <f>Bevételek!AD162+Bevételek!AD150+Bevételek!AD146</f>
        <v>0</v>
      </c>
      <c r="X20" s="151">
        <f>Bevételek!AE162+Bevételek!AE150+Bevételek!AE146</f>
        <v>0</v>
      </c>
      <c r="Y20" s="151">
        <f>Bevételek!AF162+Bevételek!AF150+Bevételek!AF146</f>
        <v>0</v>
      </c>
      <c r="Z20" s="151">
        <f>Bevételek!AG162+Bevételek!AG150+Bevételek!AG146</f>
        <v>31505394</v>
      </c>
      <c r="AA20" s="151">
        <f>Bevételek!AH162+Bevételek!AH150+Bevételek!AH146</f>
        <v>3634252368</v>
      </c>
      <c r="AB20" s="151">
        <f>Bevételek!AI162+Bevételek!AI150+Bevételek!AI146</f>
        <v>3864925349</v>
      </c>
      <c r="AC20" s="845">
        <f t="shared" ref="AC20:AC24" si="7">AB20/AA20*100</f>
        <v>106.34719214964545</v>
      </c>
      <c r="AD20" s="181" t="s">
        <v>191</v>
      </c>
      <c r="AE20" s="85" t="s">
        <v>314</v>
      </c>
      <c r="AF20" s="61">
        <f>Kiadások!J1240</f>
        <v>621389671</v>
      </c>
      <c r="AG20" s="61"/>
      <c r="AH20" s="61">
        <f>Kiadások!L1240</f>
        <v>621389671</v>
      </c>
      <c r="AI20" s="61">
        <f>Kiadások!M1240</f>
        <v>87829323</v>
      </c>
      <c r="AJ20" s="61">
        <f>Kiadások!N1240</f>
        <v>0</v>
      </c>
      <c r="AK20" s="61">
        <f>Kiadások!O1240</f>
        <v>-7575000</v>
      </c>
      <c r="AL20" s="61">
        <f>Kiadások!P1240</f>
        <v>39310000</v>
      </c>
      <c r="AM20" s="61">
        <f>Kiadások!Q1240</f>
        <v>3494094</v>
      </c>
      <c r="AN20" s="61">
        <f>Kiadások!R1240</f>
        <v>0</v>
      </c>
      <c r="AO20" s="61">
        <f>Kiadások!S1240</f>
        <v>123058417</v>
      </c>
      <c r="AP20" s="61">
        <f>Kiadások!T1240</f>
        <v>744448088</v>
      </c>
      <c r="AQ20" s="61">
        <f>Kiadások!U1240</f>
        <v>0</v>
      </c>
      <c r="AR20" s="61">
        <f>Kiadások!V1240</f>
        <v>24730400</v>
      </c>
      <c r="AS20" s="61">
        <f>Kiadások!W1240</f>
        <v>10021555</v>
      </c>
      <c r="AT20" s="61">
        <f>Kiadások!X1240</f>
        <v>-2762882</v>
      </c>
      <c r="AU20" s="61">
        <f>Kiadások!Y1240</f>
        <v>0</v>
      </c>
      <c r="AV20" s="61">
        <f>Kiadások!Z1240</f>
        <v>31989073</v>
      </c>
      <c r="AW20" s="61">
        <f>Kiadások!AA1240</f>
        <v>776437161</v>
      </c>
      <c r="AX20" s="61">
        <f>Kiadások!AB1240</f>
        <v>0</v>
      </c>
      <c r="AY20" s="61">
        <f>Kiadások!AC1240</f>
        <v>3522500</v>
      </c>
      <c r="AZ20" s="61">
        <f>Kiadások!AD1240</f>
        <v>-6283346</v>
      </c>
      <c r="BA20" s="61">
        <f>Kiadások!AE1240</f>
        <v>-28926705</v>
      </c>
      <c r="BB20" s="61">
        <f>Kiadások!AF1240</f>
        <v>0</v>
      </c>
      <c r="BC20" s="61">
        <f>Kiadások!AG1240</f>
        <v>-31687551</v>
      </c>
      <c r="BD20" s="61">
        <f>Kiadások!AH1240</f>
        <v>744749610</v>
      </c>
      <c r="BE20" s="61">
        <f>Kiadások!AI1240</f>
        <v>523416001</v>
      </c>
      <c r="BF20" s="850">
        <f t="shared" ref="BF20:BF26" si="8">BE20/BD20*100</f>
        <v>70.280802295418454</v>
      </c>
    </row>
    <row r="21" spans="1:58">
      <c r="A21" s="82" t="s">
        <v>311</v>
      </c>
      <c r="B21" s="83">
        <v>3</v>
      </c>
      <c r="C21" s="151">
        <f>Bevételek!J175+Bevételek!J173</f>
        <v>2600000</v>
      </c>
      <c r="D21" s="151">
        <f>Bevételek!K175+Bevételek!K173</f>
        <v>0</v>
      </c>
      <c r="E21" s="151">
        <f>Bevételek!L175+Bevételek!L173</f>
        <v>2600000</v>
      </c>
      <c r="F21" s="151">
        <f>Bevételek!M175+Bevételek!M173</f>
        <v>0</v>
      </c>
      <c r="G21" s="151">
        <f>Bevételek!N175+Bevételek!N173</f>
        <v>0</v>
      </c>
      <c r="H21" s="151">
        <f>Bevételek!O175+Bevételek!O173</f>
        <v>0</v>
      </c>
      <c r="I21" s="151">
        <f>Bevételek!P175+Bevételek!P173</f>
        <v>0</v>
      </c>
      <c r="J21" s="151">
        <f>Bevételek!Q175+Bevételek!Q173</f>
        <v>0</v>
      </c>
      <c r="K21" s="151">
        <f>Bevételek!R175+Bevételek!R173</f>
        <v>0</v>
      </c>
      <c r="L21" s="151">
        <f>Bevételek!S175+Bevételek!S173</f>
        <v>0</v>
      </c>
      <c r="M21" s="151">
        <f>Bevételek!T175+Bevételek!T173</f>
        <v>2600000</v>
      </c>
      <c r="N21" s="151">
        <f>Bevételek!U175+Bevételek!U173</f>
        <v>0</v>
      </c>
      <c r="O21" s="151">
        <f>Bevételek!V175+Bevételek!V173</f>
        <v>0</v>
      </c>
      <c r="P21" s="151">
        <f>Bevételek!W175+Bevételek!W173</f>
        <v>0</v>
      </c>
      <c r="Q21" s="151">
        <f>Bevételek!X175+Bevételek!X173</f>
        <v>0</v>
      </c>
      <c r="R21" s="151">
        <f>Bevételek!Y175+Bevételek!Y173</f>
        <v>0</v>
      </c>
      <c r="S21" s="151">
        <f>Bevételek!Z175+Bevételek!Z173</f>
        <v>0</v>
      </c>
      <c r="T21" s="151">
        <f>Bevételek!AA175+Bevételek!AA173</f>
        <v>2600000</v>
      </c>
      <c r="U21" s="151">
        <f>Bevételek!AB175+Bevételek!AB173</f>
        <v>0</v>
      </c>
      <c r="V21" s="151">
        <f>Bevételek!AC175+Bevételek!AC173</f>
        <v>0</v>
      </c>
      <c r="W21" s="151">
        <f>Bevételek!AD175+Bevételek!AD173</f>
        <v>0</v>
      </c>
      <c r="X21" s="151">
        <f>Bevételek!AE175+Bevételek!AE173</f>
        <v>0</v>
      </c>
      <c r="Y21" s="151">
        <f>Bevételek!AF175+Bevételek!AF173</f>
        <v>0</v>
      </c>
      <c r="Z21" s="151">
        <f>Bevételek!AG175+Bevételek!AG173</f>
        <v>0</v>
      </c>
      <c r="AA21" s="151">
        <f>Bevételek!AH175+Bevételek!AH173</f>
        <v>2600000</v>
      </c>
      <c r="AB21" s="151">
        <f>Bevételek!AI175+Bevételek!AI173</f>
        <v>14659531</v>
      </c>
      <c r="AC21" s="845">
        <f t="shared" si="7"/>
        <v>563.82811538461533</v>
      </c>
      <c r="AD21" s="181" t="s">
        <v>2</v>
      </c>
      <c r="AE21" s="85" t="s">
        <v>315</v>
      </c>
      <c r="AF21" s="61"/>
      <c r="AG21" s="61">
        <f>Kiadások!K1405</f>
        <v>6300000</v>
      </c>
      <c r="AH21" s="61">
        <f>Kiadások!L1405</f>
        <v>6300000</v>
      </c>
      <c r="AI21" s="61">
        <f>Kiadások!M1405</f>
        <v>0</v>
      </c>
      <c r="AJ21" s="61">
        <f>Kiadások!N1405</f>
        <v>0</v>
      </c>
      <c r="AK21" s="61">
        <f>Kiadások!O1405</f>
        <v>0</v>
      </c>
      <c r="AL21" s="61">
        <f>Kiadások!P1405</f>
        <v>0</v>
      </c>
      <c r="AM21" s="61">
        <f>Kiadások!Q1405</f>
        <v>0</v>
      </c>
      <c r="AN21" s="61">
        <f>Kiadások!R1405</f>
        <v>0</v>
      </c>
      <c r="AO21" s="61">
        <f>Kiadások!S1405</f>
        <v>0</v>
      </c>
      <c r="AP21" s="61">
        <f>Kiadások!T1405</f>
        <v>6300000</v>
      </c>
      <c r="AQ21" s="61">
        <f>Kiadások!U1405</f>
        <v>0</v>
      </c>
      <c r="AR21" s="61">
        <f>Kiadások!V1405</f>
        <v>0</v>
      </c>
      <c r="AS21" s="61">
        <f>Kiadások!W1405</f>
        <v>0</v>
      </c>
      <c r="AT21" s="61">
        <f>Kiadások!X1405</f>
        <v>0</v>
      </c>
      <c r="AU21" s="61">
        <f>Kiadások!Y1405</f>
        <v>0</v>
      </c>
      <c r="AV21" s="61">
        <f>Kiadások!Z1405</f>
        <v>0</v>
      </c>
      <c r="AW21" s="61">
        <f>Kiadások!AA1405</f>
        <v>6300000</v>
      </c>
      <c r="AX21" s="61">
        <f>Kiadások!AB1405</f>
        <v>0</v>
      </c>
      <c r="AY21" s="61">
        <f>Kiadások!AC1405</f>
        <v>0</v>
      </c>
      <c r="AZ21" s="61">
        <f>Kiadások!AD1405</f>
        <v>0</v>
      </c>
      <c r="BA21" s="61">
        <f>Kiadások!AE1405</f>
        <v>1380000</v>
      </c>
      <c r="BB21" s="61">
        <f>Kiadások!AF1405</f>
        <v>0</v>
      </c>
      <c r="BC21" s="61">
        <f>Kiadások!AG1405</f>
        <v>1380000</v>
      </c>
      <c r="BD21" s="61">
        <f>Kiadások!AH1405</f>
        <v>7680000</v>
      </c>
      <c r="BE21" s="61">
        <f>Kiadások!AI1405</f>
        <v>7678920</v>
      </c>
      <c r="BF21" s="850">
        <f t="shared" si="8"/>
        <v>99.985937500000006</v>
      </c>
    </row>
    <row r="22" spans="1:58">
      <c r="A22" s="72" t="s">
        <v>0</v>
      </c>
      <c r="B22" s="83">
        <v>3</v>
      </c>
      <c r="C22" s="76">
        <f>SUM(C20:C21)</f>
        <v>3605346974</v>
      </c>
      <c r="D22" s="76"/>
      <c r="E22" s="76">
        <f>SUM(E20:E21)</f>
        <v>3605346974</v>
      </c>
      <c r="F22" s="76">
        <f t="shared" ref="F22:M22" si="9">SUM(F20:F21)</f>
        <v>0</v>
      </c>
      <c r="G22" s="76">
        <f t="shared" si="9"/>
        <v>0</v>
      </c>
      <c r="H22" s="76">
        <f t="shared" si="9"/>
        <v>0</v>
      </c>
      <c r="I22" s="76">
        <f t="shared" si="9"/>
        <v>0</v>
      </c>
      <c r="J22" s="76">
        <f t="shared" si="9"/>
        <v>0</v>
      </c>
      <c r="K22" s="76">
        <f t="shared" si="9"/>
        <v>0</v>
      </c>
      <c r="L22" s="76">
        <f t="shared" si="9"/>
        <v>0</v>
      </c>
      <c r="M22" s="76">
        <f t="shared" si="9"/>
        <v>3605346974</v>
      </c>
      <c r="N22" s="76">
        <f t="shared" ref="N22:T22" si="10">SUM(N20:N21)</f>
        <v>0</v>
      </c>
      <c r="O22" s="76">
        <f t="shared" si="10"/>
        <v>0</v>
      </c>
      <c r="P22" s="76">
        <f t="shared" si="10"/>
        <v>0</v>
      </c>
      <c r="Q22" s="76">
        <f t="shared" si="10"/>
        <v>0</v>
      </c>
      <c r="R22" s="76">
        <f t="shared" si="10"/>
        <v>0</v>
      </c>
      <c r="S22" s="76">
        <f t="shared" si="10"/>
        <v>0</v>
      </c>
      <c r="T22" s="76">
        <f t="shared" si="10"/>
        <v>3605346974</v>
      </c>
      <c r="U22" s="76">
        <f t="shared" ref="U22:AB22" si="11">SUM(U20:U21)</f>
        <v>0</v>
      </c>
      <c r="V22" s="76">
        <f t="shared" si="11"/>
        <v>31505394</v>
      </c>
      <c r="W22" s="76">
        <f t="shared" si="11"/>
        <v>0</v>
      </c>
      <c r="X22" s="76">
        <f t="shared" si="11"/>
        <v>0</v>
      </c>
      <c r="Y22" s="76">
        <f t="shared" si="11"/>
        <v>0</v>
      </c>
      <c r="Z22" s="76">
        <f t="shared" si="11"/>
        <v>31505394</v>
      </c>
      <c r="AA22" s="76">
        <f t="shared" si="11"/>
        <v>3636852368</v>
      </c>
      <c r="AB22" s="76">
        <f t="shared" si="11"/>
        <v>3879584880</v>
      </c>
      <c r="AC22" s="831">
        <f t="shared" si="7"/>
        <v>106.67424705318696</v>
      </c>
      <c r="AD22" s="179"/>
      <c r="AE22" s="58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850"/>
    </row>
    <row r="23" spans="1:58">
      <c r="A23" s="72"/>
      <c r="B23" s="73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831"/>
      <c r="AD23" s="181" t="s">
        <v>3</v>
      </c>
      <c r="AE23" s="85" t="s">
        <v>316</v>
      </c>
      <c r="AF23" s="61"/>
      <c r="AG23" s="61">
        <f>Kiadások!K1548</f>
        <v>0</v>
      </c>
      <c r="AH23" s="61">
        <f>Kiadások!L1548</f>
        <v>0</v>
      </c>
      <c r="AI23" s="61">
        <f>Kiadások!M1548</f>
        <v>0</v>
      </c>
      <c r="AJ23" s="61">
        <f>Kiadások!N1548</f>
        <v>0</v>
      </c>
      <c r="AK23" s="61">
        <f>Kiadások!O1548</f>
        <v>0</v>
      </c>
      <c r="AL23" s="61">
        <f>Kiadások!P1548</f>
        <v>0</v>
      </c>
      <c r="AM23" s="61">
        <f>Kiadások!Q1548</f>
        <v>0</v>
      </c>
      <c r="AN23" s="61">
        <f>Kiadások!R1548</f>
        <v>0</v>
      </c>
      <c r="AO23" s="61">
        <f>Kiadások!S1548</f>
        <v>0</v>
      </c>
      <c r="AP23" s="61">
        <f>Kiadások!T1548</f>
        <v>0</v>
      </c>
      <c r="AQ23" s="61">
        <f>Kiadások!U1548</f>
        <v>0</v>
      </c>
      <c r="AR23" s="61">
        <f>Kiadások!V1548</f>
        <v>0</v>
      </c>
      <c r="AS23" s="61">
        <f>Kiadások!W1548</f>
        <v>0</v>
      </c>
      <c r="AT23" s="61">
        <f>Kiadások!X1548</f>
        <v>0</v>
      </c>
      <c r="AU23" s="61">
        <f>Kiadások!Y1548</f>
        <v>0</v>
      </c>
      <c r="AV23" s="61">
        <f>Kiadások!Z1548</f>
        <v>0</v>
      </c>
      <c r="AW23" s="61">
        <f>Kiadások!AA1548</f>
        <v>0</v>
      </c>
      <c r="AX23" s="61">
        <f>Kiadások!AB1548</f>
        <v>0</v>
      </c>
      <c r="AY23" s="61">
        <f>Kiadások!AC1548</f>
        <v>0</v>
      </c>
      <c r="AZ23" s="61">
        <f>Kiadások!AD1548</f>
        <v>0</v>
      </c>
      <c r="BA23" s="61">
        <f>Kiadások!AE1548</f>
        <v>0</v>
      </c>
      <c r="BB23" s="61">
        <f>Kiadások!AF1548</f>
        <v>0</v>
      </c>
      <c r="BC23" s="61">
        <f>Kiadások!AG1548</f>
        <v>0</v>
      </c>
      <c r="BD23" s="61">
        <f>Kiadások!AH1548</f>
        <v>0</v>
      </c>
      <c r="BE23" s="61">
        <f>Kiadások!AI1548</f>
        <v>0</v>
      </c>
      <c r="BF23" s="850"/>
    </row>
    <row r="24" spans="1:58">
      <c r="A24" s="72" t="s">
        <v>312</v>
      </c>
      <c r="B24" s="73">
        <v>4</v>
      </c>
      <c r="C24" s="76">
        <f>Bevételek!J254+Bevételek!J232+Bevételek!J231+Bevételek!J229+Bevételek!J228+Bevételek!J227+Bevételek!J225+Bevételek!J224+Bevételek!J223+Bevételek!J221+Bevételek!J216+Bevételek!J210+Bevételek!J204+Bevételek!J202+Bevételek!J195+Bevételek!J252</f>
        <v>141350000</v>
      </c>
      <c r="D24" s="76">
        <f>Bevételek!K254+Bevételek!K232+Bevételek!K231+Bevételek!K229+Bevételek!K228+Bevételek!K227+Bevételek!K225+Bevételek!K224+Bevételek!K223+Bevételek!K221+Bevételek!K216+Bevételek!K210+Bevételek!K204+Bevételek!K202+Bevételek!K195+Bevételek!K252</f>
        <v>0</v>
      </c>
      <c r="E24" s="76">
        <f>Bevételek!L254+Bevételek!L232+Bevételek!L231+Bevételek!L229+Bevételek!L228+Bevételek!L227+Bevételek!L225+Bevételek!L224+Bevételek!L223+Bevételek!L221+Bevételek!L216+Bevételek!L210+Bevételek!L204+Bevételek!L202+Bevételek!L195+Bevételek!L252</f>
        <v>141350000</v>
      </c>
      <c r="F24" s="76">
        <f>Bevételek!M254+Bevételek!M232+Bevételek!M231+Bevételek!M229+Bevételek!M228+Bevételek!M227+Bevételek!M225+Bevételek!M224+Bevételek!M223+Bevételek!M221+Bevételek!M216+Bevételek!M210+Bevételek!M204+Bevételek!M202+Bevételek!M195+Bevételek!M252</f>
        <v>0</v>
      </c>
      <c r="G24" s="76">
        <f>Bevételek!N254+Bevételek!N232+Bevételek!N231+Bevételek!N229+Bevételek!N228+Bevételek!N227+Bevételek!N225+Bevételek!N224+Bevételek!N223+Bevételek!N221+Bevételek!N216+Bevételek!N210+Bevételek!N204+Bevételek!N202+Bevételek!N195+Bevételek!N252</f>
        <v>0</v>
      </c>
      <c r="H24" s="76">
        <f>Bevételek!O254+Bevételek!O232+Bevételek!O231+Bevételek!O229+Bevételek!O228+Bevételek!O227+Bevételek!O225+Bevételek!O224+Bevételek!O223+Bevételek!O221+Bevételek!O216+Bevételek!O210+Bevételek!O204+Bevételek!O202+Bevételek!O195+Bevételek!O252</f>
        <v>0</v>
      </c>
      <c r="I24" s="76">
        <f>Bevételek!P254+Bevételek!P232+Bevételek!P231+Bevételek!P229+Bevételek!P228+Bevételek!P227+Bevételek!P225+Bevételek!P224+Bevételek!P223+Bevételek!P221+Bevételek!P216+Bevételek!P210+Bevételek!P204+Bevételek!P202+Bevételek!P195+Bevételek!P252</f>
        <v>0</v>
      </c>
      <c r="J24" s="76">
        <f>Bevételek!Q254+Bevételek!Q232+Bevételek!Q231+Bevételek!Q229+Bevételek!Q228+Bevételek!Q227+Bevételek!Q225+Bevételek!Q224+Bevételek!Q223+Bevételek!Q221+Bevételek!Q216+Bevételek!Q210+Bevételek!Q204+Bevételek!Q202+Bevételek!Q195+Bevételek!Q252</f>
        <v>0</v>
      </c>
      <c r="K24" s="76">
        <f>Bevételek!R254+Bevételek!R232+Bevételek!R231+Bevételek!R229+Bevételek!R228+Bevételek!R227+Bevételek!R225+Bevételek!R224+Bevételek!R223+Bevételek!R221+Bevételek!R216+Bevételek!R210+Bevételek!R204+Bevételek!R202+Bevételek!R195+Bevételek!R252</f>
        <v>0</v>
      </c>
      <c r="L24" s="76">
        <f>Bevételek!S254+Bevételek!S232+Bevételek!S231+Bevételek!S229+Bevételek!S228+Bevételek!S227+Bevételek!S225+Bevételek!S224+Bevételek!S223+Bevételek!S221+Bevételek!S216+Bevételek!S210+Bevételek!S204+Bevételek!S202+Bevételek!S195+Bevételek!S252</f>
        <v>0</v>
      </c>
      <c r="M24" s="76">
        <f>Bevételek!T256+Bevételek!T254+Bevételek!T252+Bevételek!T232+Bevételek!T231+Bevételek!T229+Bevételek!T228+Bevételek!T227+Bevételek!T225+Bevételek!T224+Bevételek!T223+Bevételek!T221+Bevételek!T216+Bevételek!T210+Bevételek!T205+Bevételek!T204+Bevételek!T202+Bevételek!T196+Bevételek!T195</f>
        <v>141350000</v>
      </c>
      <c r="N24" s="76">
        <f>Bevételek!U256+Bevételek!U254+Bevételek!U252+Bevételek!U232+Bevételek!U231+Bevételek!U229+Bevételek!U228+Bevételek!U227+Bevételek!U225+Bevételek!U224+Bevételek!U223+Bevételek!U221+Bevételek!U216+Bevételek!U210+Bevételek!U205+Bevételek!U204+Bevételek!U202+Bevételek!U196+Bevételek!U195</f>
        <v>0</v>
      </c>
      <c r="O24" s="76">
        <f>Bevételek!V256+Bevételek!V254+Bevételek!V252+Bevételek!V232+Bevételek!V231+Bevételek!V229+Bevételek!V228+Bevételek!V227+Bevételek!V225+Bevételek!V224+Bevételek!V223+Bevételek!V221+Bevételek!V216+Bevételek!V210+Bevételek!V205+Bevételek!V204+Bevételek!V202+Bevételek!V196+Bevételek!V195</f>
        <v>0</v>
      </c>
      <c r="P24" s="76">
        <f>Bevételek!W256+Bevételek!W254+Bevételek!W252+Bevételek!W232+Bevételek!W231+Bevételek!W229+Bevételek!W228+Bevételek!W227+Bevételek!W225+Bevételek!W224+Bevételek!W223+Bevételek!W221+Bevételek!W216+Bevételek!W210+Bevételek!W205+Bevételek!W204+Bevételek!W202+Bevételek!W196+Bevételek!W195</f>
        <v>0</v>
      </c>
      <c r="Q24" s="76">
        <f>Bevételek!X256+Bevételek!X254+Bevételek!X252+Bevételek!X232+Bevételek!X231+Bevételek!X229+Bevételek!X228+Bevételek!X227+Bevételek!X225+Bevételek!X224+Bevételek!X223+Bevételek!X221+Bevételek!X216+Bevételek!X210+Bevételek!X205+Bevételek!X204+Bevételek!X202+Bevételek!X196+Bevételek!X195</f>
        <v>0</v>
      </c>
      <c r="R24" s="76">
        <f>Bevételek!Y256+Bevételek!Y254+Bevételek!Y252+Bevételek!Y232+Bevételek!Y231+Bevételek!Y229+Bevételek!Y228+Bevételek!Y227+Bevételek!Y225+Bevételek!Y224+Bevételek!Y223+Bevételek!Y221+Bevételek!Y216+Bevételek!Y210+Bevételek!Y205+Bevételek!Y204+Bevételek!Y202+Bevételek!Y196+Bevételek!Y195</f>
        <v>0</v>
      </c>
      <c r="S24" s="76">
        <f>Bevételek!Z256+Bevételek!Z254+Bevételek!Z252+Bevételek!Z232+Bevételek!Z231+Bevételek!Z229+Bevételek!Z228+Bevételek!Z227+Bevételek!Z225+Bevételek!Z224+Bevételek!Z223+Bevételek!Z221+Bevételek!Z216+Bevételek!Z210+Bevételek!Z205+Bevételek!Z204+Bevételek!Z202+Bevételek!Z196+Bevételek!Z195</f>
        <v>0</v>
      </c>
      <c r="T24" s="76">
        <f>Bevételek!AA256+Bevételek!AA254+Bevételek!AA252+Bevételek!AA232+Bevételek!AA231+Bevételek!AA229+Bevételek!AA228+Bevételek!AA227+Bevételek!AA225+Bevételek!AA224+Bevételek!AA223+Bevételek!AA221+Bevételek!AA216+Bevételek!AA210+Bevételek!AA205+Bevételek!AA204+Bevételek!AA202+Bevételek!AA196+Bevételek!AA195</f>
        <v>141350000</v>
      </c>
      <c r="U24" s="76">
        <f>Bevételek!AB256+Bevételek!AB254+Bevételek!AB252+Bevételek!AB232+Bevételek!AB231+Bevételek!AB229+Bevételek!AB228+Bevételek!AB227+Bevételek!AB225+Bevételek!AB224+Bevételek!AB223+Bevételek!AB221+Bevételek!AB216+Bevételek!AB210+Bevételek!AB205+Bevételek!AB204+Bevételek!AB202+Bevételek!AB196+Bevételek!AB195+Bevételek!AB233</f>
        <v>0</v>
      </c>
      <c r="V24" s="76">
        <f>Bevételek!AC256+Bevételek!AC254+Bevételek!AC252+Bevételek!AC232+Bevételek!AC231+Bevételek!AC229+Bevételek!AC228+Bevételek!AC227+Bevételek!AC225+Bevételek!AC224+Bevételek!AC223+Bevételek!AC221+Bevételek!AC216+Bevételek!AC210+Bevételek!AC205+Bevételek!AC204+Bevételek!AC202+Bevételek!AC196+Bevételek!AC195+Bevételek!AC233</f>
        <v>0</v>
      </c>
      <c r="W24" s="76">
        <f>Bevételek!AD256+Bevételek!AD254+Bevételek!AD252+Bevételek!AD232+Bevételek!AD231+Bevételek!AD229+Bevételek!AD228+Bevételek!AD227+Bevételek!AD225+Bevételek!AD224+Bevételek!AD223+Bevételek!AD221+Bevételek!AD216+Bevételek!AD210+Bevételek!AD205+Bevételek!AD204+Bevételek!AD202+Bevételek!AD196+Bevételek!AD195+Bevételek!AD233</f>
        <v>0</v>
      </c>
      <c r="X24" s="76">
        <f>Bevételek!AE256+Bevételek!AE254+Bevételek!AE252+Bevételek!AE232+Bevételek!AE231+Bevételek!AE229+Bevételek!AE228+Bevételek!AE227+Bevételek!AE225+Bevételek!AE224+Bevételek!AE223+Bevételek!AE221+Bevételek!AE216+Bevételek!AE210+Bevételek!AE205+Bevételek!AE204+Bevételek!AE202+Bevételek!AE196+Bevételek!AE195+Bevételek!AE233</f>
        <v>0</v>
      </c>
      <c r="Y24" s="76">
        <f>Bevételek!AF256+Bevételek!AF254+Bevételek!AF252+Bevételek!AF232+Bevételek!AF231+Bevételek!AF229+Bevételek!AF228+Bevételek!AF227+Bevételek!AF225+Bevételek!AF224+Bevételek!AF223+Bevételek!AF221+Bevételek!AF216+Bevételek!AF210+Bevételek!AF205+Bevételek!AF204+Bevételek!AF202+Bevételek!AF196+Bevételek!AF195+Bevételek!AF233</f>
        <v>0</v>
      </c>
      <c r="Z24" s="76">
        <f>Bevételek!AG256+Bevételek!AG254+Bevételek!AG252+Bevételek!AG232+Bevételek!AG231+Bevételek!AG229+Bevételek!AG228+Bevételek!AG227+Bevételek!AG225+Bevételek!AG224+Bevételek!AG223+Bevételek!AG221+Bevételek!AG216+Bevételek!AG210+Bevételek!AG205+Bevételek!AG204+Bevételek!AG202+Bevételek!AG196+Bevételek!AG195+Bevételek!AG233</f>
        <v>0</v>
      </c>
      <c r="AA24" s="76">
        <f>Bevételek!AH256+Bevételek!AH254+Bevételek!AH252+Bevételek!AH232+Bevételek!AH231+Bevételek!AH229+Bevételek!AH228+Bevételek!AH227+Bevételek!AH225+Bevételek!AH224+Bevételek!AH223+Bevételek!AH221+Bevételek!AH216+Bevételek!AH210+Bevételek!AH205+Bevételek!AH204+Bevételek!AH202+Bevételek!AH196+Bevételek!AH195+Bevételek!AH233</f>
        <v>141350000</v>
      </c>
      <c r="AB24" s="76">
        <f>Bevételek!AI256+Bevételek!AI254+Bevételek!AI252+Bevételek!AI232+Bevételek!AI231+Bevételek!AI229+Bevételek!AI228+Bevételek!AI227+Bevételek!AI225+Bevételek!AI224+Bevételek!AI223+Bevételek!AI221+Bevételek!AI216+Bevételek!AI210+Bevételek!AI205+Bevételek!AI204+Bevételek!AI202+Bevételek!AI196+Bevételek!AI195+Bevételek!AI233</f>
        <v>118730472</v>
      </c>
      <c r="AC24" s="831">
        <f t="shared" si="7"/>
        <v>83.997504067916523</v>
      </c>
      <c r="AD24" s="181"/>
      <c r="AE24" s="75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850"/>
    </row>
    <row r="25" spans="1:58">
      <c r="A25" s="82" t="s">
        <v>1</v>
      </c>
      <c r="B25" s="83">
        <v>5</v>
      </c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833"/>
      <c r="AD25" s="181" t="s">
        <v>4</v>
      </c>
      <c r="AE25" s="59" t="s">
        <v>382</v>
      </c>
      <c r="AF25" s="61"/>
      <c r="AG25" s="61">
        <f>Kiadások!K1752</f>
        <v>927805</v>
      </c>
      <c r="AH25" s="61">
        <f>Kiadások!L1752</f>
        <v>927805</v>
      </c>
      <c r="AI25" s="61">
        <f>Kiadások!M1752</f>
        <v>0</v>
      </c>
      <c r="AJ25" s="61">
        <f>Kiadások!N1752</f>
        <v>0</v>
      </c>
      <c r="AK25" s="61">
        <f>Kiadások!O1752</f>
        <v>0</v>
      </c>
      <c r="AL25" s="61">
        <f>Kiadások!P1752</f>
        <v>0</v>
      </c>
      <c r="AM25" s="61">
        <f>Kiadások!Q1752</f>
        <v>0</v>
      </c>
      <c r="AN25" s="61">
        <f>Kiadások!R1752</f>
        <v>0</v>
      </c>
      <c r="AO25" s="61">
        <f>Kiadások!S1752</f>
        <v>0</v>
      </c>
      <c r="AP25" s="61">
        <f>Kiadások!T1752</f>
        <v>927805</v>
      </c>
      <c r="AQ25" s="61">
        <f>Kiadások!U1752</f>
        <v>0</v>
      </c>
      <c r="AR25" s="61">
        <f>Kiadások!V1752</f>
        <v>0</v>
      </c>
      <c r="AS25" s="61">
        <f>Kiadások!W1752</f>
        <v>0</v>
      </c>
      <c r="AT25" s="61">
        <f>Kiadások!X1752</f>
        <v>0</v>
      </c>
      <c r="AU25" s="61">
        <f>Kiadások!Y1752</f>
        <v>0</v>
      </c>
      <c r="AV25" s="61">
        <f>Kiadások!Z1752</f>
        <v>0</v>
      </c>
      <c r="AW25" s="61">
        <f>Kiadások!AA1752</f>
        <v>927805</v>
      </c>
      <c r="AX25" s="61">
        <f>Kiadások!AB1752</f>
        <v>0</v>
      </c>
      <c r="AY25" s="61">
        <f>Kiadások!AC1752</f>
        <v>0</v>
      </c>
      <c r="AZ25" s="61">
        <f>Kiadások!AD1752</f>
        <v>0</v>
      </c>
      <c r="BA25" s="61">
        <f>Kiadások!AE1752</f>
        <v>3136900</v>
      </c>
      <c r="BB25" s="61">
        <f>Kiadások!AF1752</f>
        <v>0</v>
      </c>
      <c r="BC25" s="61">
        <f>Kiadások!AG1752</f>
        <v>3136900</v>
      </c>
      <c r="BD25" s="61">
        <f>Kiadások!AH1752</f>
        <v>4064705</v>
      </c>
      <c r="BE25" s="61">
        <f>Kiadások!AI1752</f>
        <v>927805</v>
      </c>
      <c r="BF25" s="850">
        <f t="shared" si="8"/>
        <v>22.825887733550161</v>
      </c>
    </row>
    <row r="26" spans="1:58">
      <c r="A26" s="72" t="s">
        <v>313</v>
      </c>
      <c r="B26" s="83">
        <v>5</v>
      </c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833"/>
      <c r="AD26" s="181" t="s">
        <v>5</v>
      </c>
      <c r="AE26" s="59" t="s">
        <v>382</v>
      </c>
      <c r="AF26" s="61"/>
      <c r="AG26" s="61">
        <f>Kiadások!K2036</f>
        <v>0</v>
      </c>
      <c r="AH26" s="61">
        <f>Kiadások!L2036</f>
        <v>0</v>
      </c>
      <c r="AI26" s="61">
        <f>Kiadások!M2036</f>
        <v>581800</v>
      </c>
      <c r="AJ26" s="61">
        <f>Kiadások!N2036</f>
        <v>0</v>
      </c>
      <c r="AK26" s="61">
        <f>Kiadások!O2036</f>
        <v>0</v>
      </c>
      <c r="AL26" s="61">
        <f>Kiadások!P2036</f>
        <v>0</v>
      </c>
      <c r="AM26" s="61">
        <f>Kiadások!Q2036</f>
        <v>0</v>
      </c>
      <c r="AN26" s="61">
        <f>Kiadások!R2036</f>
        <v>0</v>
      </c>
      <c r="AO26" s="61">
        <f>Kiadások!S2036</f>
        <v>581800</v>
      </c>
      <c r="AP26" s="61">
        <f>Kiadások!T2036</f>
        <v>581800</v>
      </c>
      <c r="AQ26" s="61">
        <f>Kiadások!U2036</f>
        <v>0</v>
      </c>
      <c r="AR26" s="61">
        <f>Kiadások!V2036</f>
        <v>0</v>
      </c>
      <c r="AS26" s="61">
        <f>Kiadások!W2036</f>
        <v>0</v>
      </c>
      <c r="AT26" s="61">
        <f>Kiadások!X2036</f>
        <v>0</v>
      </c>
      <c r="AU26" s="61">
        <f>Kiadások!Y2036</f>
        <v>0</v>
      </c>
      <c r="AV26" s="61">
        <f>Kiadások!Z2036</f>
        <v>0</v>
      </c>
      <c r="AW26" s="61">
        <f>Kiadások!AA2036</f>
        <v>581800</v>
      </c>
      <c r="AX26" s="61">
        <f>Kiadások!AB2036</f>
        <v>0</v>
      </c>
      <c r="AY26" s="61">
        <f>Kiadások!AC2036</f>
        <v>0</v>
      </c>
      <c r="AZ26" s="61">
        <f>Kiadások!AD2036</f>
        <v>600000</v>
      </c>
      <c r="BA26" s="61">
        <f>Kiadások!AE2036</f>
        <v>0</v>
      </c>
      <c r="BB26" s="61">
        <f>Kiadások!AF2036</f>
        <v>0</v>
      </c>
      <c r="BC26" s="61">
        <f>Kiadások!AG2036</f>
        <v>600000</v>
      </c>
      <c r="BD26" s="61">
        <f>Kiadások!AH2036</f>
        <v>1181800</v>
      </c>
      <c r="BE26" s="61">
        <f>Kiadások!AI2036</f>
        <v>0</v>
      </c>
      <c r="BF26" s="850">
        <f t="shared" si="8"/>
        <v>0</v>
      </c>
    </row>
    <row r="27" spans="1:58">
      <c r="A27" s="82"/>
      <c r="B27" s="83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834"/>
      <c r="AD27" s="181" t="s">
        <v>593</v>
      </c>
      <c r="AE27" s="59" t="s">
        <v>382</v>
      </c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850"/>
    </row>
    <row r="28" spans="1:58">
      <c r="A28" s="77" t="s">
        <v>258</v>
      </c>
      <c r="B28" s="78"/>
      <c r="C28" s="81">
        <f>C26+C24+C22</f>
        <v>3746696974</v>
      </c>
      <c r="D28" s="81"/>
      <c r="E28" s="81">
        <f>E26+E24+E22</f>
        <v>3746696974</v>
      </c>
      <c r="F28" s="81">
        <f t="shared" ref="F28:M28" si="12">F26+F24+F22</f>
        <v>0</v>
      </c>
      <c r="G28" s="81">
        <f t="shared" si="12"/>
        <v>0</v>
      </c>
      <c r="H28" s="81">
        <f t="shared" si="12"/>
        <v>0</v>
      </c>
      <c r="I28" s="81">
        <f t="shared" si="12"/>
        <v>0</v>
      </c>
      <c r="J28" s="81">
        <f t="shared" si="12"/>
        <v>0</v>
      </c>
      <c r="K28" s="81">
        <f t="shared" si="12"/>
        <v>0</v>
      </c>
      <c r="L28" s="81">
        <f t="shared" si="12"/>
        <v>0</v>
      </c>
      <c r="M28" s="81">
        <f t="shared" si="12"/>
        <v>3746696974</v>
      </c>
      <c r="N28" s="81">
        <f t="shared" ref="N28:T28" si="13">N26+N24+N22</f>
        <v>0</v>
      </c>
      <c r="O28" s="81">
        <f t="shared" si="13"/>
        <v>0</v>
      </c>
      <c r="P28" s="81">
        <f t="shared" si="13"/>
        <v>0</v>
      </c>
      <c r="Q28" s="81">
        <f t="shared" si="13"/>
        <v>0</v>
      </c>
      <c r="R28" s="81">
        <f t="shared" si="13"/>
        <v>0</v>
      </c>
      <c r="S28" s="81">
        <f t="shared" si="13"/>
        <v>0</v>
      </c>
      <c r="T28" s="81">
        <f t="shared" si="13"/>
        <v>3746696974</v>
      </c>
      <c r="U28" s="81">
        <f t="shared" ref="U28:AB28" si="14">U26+U24+U22</f>
        <v>0</v>
      </c>
      <c r="V28" s="81">
        <f t="shared" si="14"/>
        <v>31505394</v>
      </c>
      <c r="W28" s="81">
        <f t="shared" si="14"/>
        <v>0</v>
      </c>
      <c r="X28" s="81">
        <f t="shared" si="14"/>
        <v>0</v>
      </c>
      <c r="Y28" s="81">
        <f t="shared" si="14"/>
        <v>0</v>
      </c>
      <c r="Z28" s="81">
        <f t="shared" si="14"/>
        <v>31505394</v>
      </c>
      <c r="AA28" s="81">
        <f t="shared" si="14"/>
        <v>3778202368</v>
      </c>
      <c r="AB28" s="81">
        <f t="shared" si="14"/>
        <v>3998315352</v>
      </c>
      <c r="AC28" s="844">
        <f>AB28/AA28*100</f>
        <v>105.82586538678491</v>
      </c>
      <c r="AD28" s="182"/>
      <c r="AE28" s="80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848"/>
    </row>
    <row r="29" spans="1:58" ht="23">
      <c r="A29" s="72" t="s">
        <v>347</v>
      </c>
      <c r="B29" s="73">
        <v>1</v>
      </c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834"/>
      <c r="AD29" s="182" t="s">
        <v>265</v>
      </c>
      <c r="AE29" s="80">
        <v>8</v>
      </c>
      <c r="AF29" s="152"/>
      <c r="AG29" s="152">
        <f>Kiadások!K2176</f>
        <v>7155700</v>
      </c>
      <c r="AH29" s="152">
        <f>Kiadások!L2176</f>
        <v>7155700</v>
      </c>
      <c r="AI29" s="152">
        <f>Kiadások!M2176</f>
        <v>43973483</v>
      </c>
      <c r="AJ29" s="152">
        <f>Kiadások!N2176</f>
        <v>0</v>
      </c>
      <c r="AK29" s="152">
        <f>Kiadások!O2176</f>
        <v>1089000</v>
      </c>
      <c r="AL29" s="152">
        <f>Kiadások!P2176</f>
        <v>686340</v>
      </c>
      <c r="AM29" s="152">
        <f>Kiadások!Q2176</f>
        <v>0</v>
      </c>
      <c r="AN29" s="152">
        <f>Kiadások!R2176</f>
        <v>0</v>
      </c>
      <c r="AO29" s="152">
        <f>Kiadások!S2176</f>
        <v>45748823</v>
      </c>
      <c r="AP29" s="152">
        <f>Kiadások!T2176</f>
        <v>51725283</v>
      </c>
      <c r="AQ29" s="152">
        <f>Kiadások!U2176</f>
        <v>0</v>
      </c>
      <c r="AR29" s="152">
        <f>Kiadások!V2176</f>
        <v>0</v>
      </c>
      <c r="AS29" s="152">
        <f>Kiadások!W2176</f>
        <v>-686340</v>
      </c>
      <c r="AT29" s="152">
        <f>Kiadások!X2176</f>
        <v>600000</v>
      </c>
      <c r="AU29" s="152">
        <f>Kiadások!Y2176</f>
        <v>0</v>
      </c>
      <c r="AV29" s="152">
        <f>Kiadások!Z2176</f>
        <v>-86340</v>
      </c>
      <c r="AW29" s="152">
        <f>Kiadások!AA2176</f>
        <v>51638943</v>
      </c>
      <c r="AX29" s="152">
        <f>Kiadások!AB2176</f>
        <v>0</v>
      </c>
      <c r="AY29" s="152">
        <f>Kiadások!AC2176</f>
        <v>2644790</v>
      </c>
      <c r="AZ29" s="152">
        <f>Kiadások!AD2176</f>
        <v>0</v>
      </c>
      <c r="BA29" s="152">
        <f>Kiadások!AE2176</f>
        <v>2280808</v>
      </c>
      <c r="BB29" s="152">
        <f>Kiadások!AF2176</f>
        <v>0</v>
      </c>
      <c r="BC29" s="152">
        <f>Kiadások!AG2176</f>
        <v>4925598</v>
      </c>
      <c r="BD29" s="152">
        <f>Kiadások!AH2176</f>
        <v>56564541</v>
      </c>
      <c r="BE29" s="152">
        <f>Kiadások!AI2176</f>
        <v>27615308</v>
      </c>
      <c r="BF29" s="848">
        <f t="shared" ref="BF29" si="15">BE29/BD29*100</f>
        <v>48.820882326261604</v>
      </c>
    </row>
    <row r="30" spans="1:58" ht="23">
      <c r="A30" s="72" t="s">
        <v>642</v>
      </c>
      <c r="B30" s="73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834"/>
      <c r="AD30" s="182"/>
      <c r="AE30" s="80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848"/>
    </row>
    <row r="31" spans="1:58">
      <c r="A31" s="72" t="s">
        <v>348</v>
      </c>
      <c r="B31" s="73">
        <v>2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834"/>
      <c r="AD31" s="182" t="s">
        <v>317</v>
      </c>
      <c r="AE31" s="86" t="s">
        <v>318</v>
      </c>
      <c r="AF31" s="152"/>
      <c r="AG31" s="152">
        <f>Kiadások!K2205</f>
        <v>7500000</v>
      </c>
      <c r="AH31" s="152">
        <f>Kiadások!L2205</f>
        <v>7500000</v>
      </c>
      <c r="AI31" s="152">
        <f>Kiadások!M2205</f>
        <v>5251613</v>
      </c>
      <c r="AJ31" s="152">
        <f>Kiadások!N2205</f>
        <v>0</v>
      </c>
      <c r="AK31" s="152">
        <f>Kiadások!O2205</f>
        <v>92000000</v>
      </c>
      <c r="AL31" s="152">
        <f>Kiadások!P2205</f>
        <v>0</v>
      </c>
      <c r="AM31" s="152">
        <f>Kiadások!Q2205</f>
        <v>0</v>
      </c>
      <c r="AN31" s="152">
        <f>Kiadások!R2205</f>
        <v>0</v>
      </c>
      <c r="AO31" s="152">
        <f>Kiadások!S2205</f>
        <v>97251613</v>
      </c>
      <c r="AP31" s="152">
        <f>Kiadások!T2205</f>
        <v>104751613</v>
      </c>
      <c r="AQ31" s="152">
        <f>Kiadások!U2205</f>
        <v>0</v>
      </c>
      <c r="AR31" s="152">
        <f>Kiadások!V2205</f>
        <v>0</v>
      </c>
      <c r="AS31" s="152">
        <f>Kiadások!W2205</f>
        <v>0</v>
      </c>
      <c r="AT31" s="152">
        <f>Kiadások!X2205</f>
        <v>0</v>
      </c>
      <c r="AU31" s="152">
        <f>Kiadások!Y2205</f>
        <v>0</v>
      </c>
      <c r="AV31" s="152">
        <f>Kiadások!Z2205</f>
        <v>0</v>
      </c>
      <c r="AW31" s="152">
        <f>Kiadások!AA2205</f>
        <v>104751613</v>
      </c>
      <c r="AX31" s="152">
        <f>Kiadások!AB2205</f>
        <v>0</v>
      </c>
      <c r="AY31" s="152">
        <f>Kiadások!AC2205</f>
        <v>0</v>
      </c>
      <c r="AZ31" s="152">
        <f>Kiadások!AD2205</f>
        <v>0</v>
      </c>
      <c r="BA31" s="152">
        <f>Kiadások!AE2205</f>
        <v>0</v>
      </c>
      <c r="BB31" s="152">
        <f>Kiadások!AF2205</f>
        <v>0</v>
      </c>
      <c r="BC31" s="152">
        <f>Kiadások!AG2205</f>
        <v>0</v>
      </c>
      <c r="BD31" s="152">
        <f>Kiadások!AH2205</f>
        <v>104751613</v>
      </c>
      <c r="BE31" s="152">
        <f>Kiadások!AI2205</f>
        <v>98810000</v>
      </c>
      <c r="BF31" s="848">
        <f t="shared" ref="BF31" si="16">BE31/BD31*100</f>
        <v>94.327903093960003</v>
      </c>
    </row>
    <row r="32" spans="1:58">
      <c r="A32" s="87" t="s">
        <v>259</v>
      </c>
      <c r="B32" s="88">
        <v>1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32"/>
      <c r="AD32" s="183"/>
      <c r="AE32" s="59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848"/>
    </row>
    <row r="33" spans="1:58">
      <c r="A33" s="72" t="s">
        <v>240</v>
      </c>
      <c r="B33" s="73">
        <v>1</v>
      </c>
      <c r="C33" s="76">
        <f>Bevételek!J414+Bevételek!J415+Bevételek!J416</f>
        <v>26486440</v>
      </c>
      <c r="D33" s="76">
        <f>Bevételek!K414+Bevételek!K415+Bevételek!K416</f>
        <v>0</v>
      </c>
      <c r="E33" s="76">
        <f>Bevételek!L414+Bevételek!L415+Bevételek!L416</f>
        <v>26486440</v>
      </c>
      <c r="F33" s="76">
        <f>Bevételek!M414+Bevételek!M415+Bevételek!M416</f>
        <v>0</v>
      </c>
      <c r="G33" s="76">
        <f>Bevételek!N414+Bevételek!N415+Bevételek!N416</f>
        <v>0</v>
      </c>
      <c r="H33" s="76">
        <f>Bevételek!O414+Bevételek!O415+Bevételek!O416</f>
        <v>0</v>
      </c>
      <c r="I33" s="76">
        <f>Bevételek!P414+Bevételek!P415+Bevételek!P416+Bevételek!P437</f>
        <v>37600000</v>
      </c>
      <c r="J33" s="76">
        <f>Bevételek!Q414+Bevételek!Q415+Bevételek!Q416+Bevételek!Q437</f>
        <v>0</v>
      </c>
      <c r="K33" s="76">
        <f>Bevételek!R414+Bevételek!R415+Bevételek!R416+Bevételek!R437</f>
        <v>0</v>
      </c>
      <c r="L33" s="76">
        <f>Bevételek!S414+Bevételek!S415+Bevételek!S416+Bevételek!S437</f>
        <v>37600000</v>
      </c>
      <c r="M33" s="76">
        <f>Bevételek!T414+Bevételek!T415+Bevételek!T416+Bevételek!T437</f>
        <v>64086440</v>
      </c>
      <c r="N33" s="76">
        <f>Bevételek!U414+Bevételek!U415+Bevételek!U416+Bevételek!U437</f>
        <v>0</v>
      </c>
      <c r="O33" s="76">
        <f>Bevételek!V414+Bevételek!V415+Bevételek!V416+Bevételek!V437+Bevételek!V455</f>
        <v>0</v>
      </c>
      <c r="P33" s="76">
        <f>Bevételek!W414+Bevételek!W415+Bevételek!W416+Bevételek!W437</f>
        <v>0</v>
      </c>
      <c r="Q33" s="76">
        <f>Bevételek!X414+Bevételek!X415+Bevételek!X416+Bevételek!X437</f>
        <v>0</v>
      </c>
      <c r="R33" s="76">
        <f>Bevételek!Y414+Bevételek!Y415+Bevételek!Y416+Bevételek!Y437</f>
        <v>0</v>
      </c>
      <c r="S33" s="76">
        <f>Bevételek!Z414+Bevételek!Z415+Bevételek!Z416+Bevételek!Z437</f>
        <v>0</v>
      </c>
      <c r="T33" s="76">
        <f>Bevételek!AA414+Bevételek!AA415+Bevételek!AA416+Bevételek!AA437</f>
        <v>64086440</v>
      </c>
      <c r="U33" s="76">
        <f>Bevételek!AB414+Bevételek!AB415+Bevételek!AB416+Bevételek!AB437</f>
        <v>0</v>
      </c>
      <c r="V33" s="76">
        <f>Bevételek!AC414+Bevételek!AC415+Bevételek!AC416+Bevételek!AC437</f>
        <v>0</v>
      </c>
      <c r="W33" s="76">
        <f>Bevételek!AD414+Bevételek!AD415+Bevételek!AD416+Bevételek!AD437</f>
        <v>-7483346</v>
      </c>
      <c r="X33" s="76">
        <f>Bevételek!AE414+Bevételek!AE415+Bevételek!AE416+Bevételek!AE437</f>
        <v>0</v>
      </c>
      <c r="Y33" s="76">
        <f>Bevételek!AF414+Bevételek!AF415+Bevételek!AF416+Bevételek!AF437</f>
        <v>0</v>
      </c>
      <c r="Z33" s="76">
        <f>Bevételek!AG414+Bevételek!AG415+Bevételek!AG416+Bevételek!AG437</f>
        <v>-7483346</v>
      </c>
      <c r="AA33" s="76">
        <f>Bevételek!AH414+Bevételek!AH415+Bevételek!AH416+Bevételek!AH437</f>
        <v>56603094</v>
      </c>
      <c r="AB33" s="76">
        <f>Bevételek!AI414+Bevételek!AI415+Bevételek!AI416+Bevételek!AI437</f>
        <v>56603094</v>
      </c>
      <c r="AC33" s="831">
        <f t="shared" ref="AC33:AC35" si="17">AB33/AA33*100</f>
        <v>100</v>
      </c>
      <c r="AD33" s="179"/>
      <c r="AE33" s="58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848"/>
    </row>
    <row r="34" spans="1:58">
      <c r="A34" s="72" t="s">
        <v>241</v>
      </c>
      <c r="B34" s="73">
        <v>1</v>
      </c>
      <c r="C34" s="76"/>
      <c r="D34" s="76"/>
      <c r="E34" s="76"/>
      <c r="F34" s="76"/>
      <c r="G34" s="76"/>
      <c r="H34" s="76"/>
      <c r="I34" s="76">
        <f>Bevételek!P451+Bevételek!P452</f>
        <v>1710000</v>
      </c>
      <c r="J34" s="76">
        <f>Bevételek!Q451+Bevételek!Q452</f>
        <v>0</v>
      </c>
      <c r="K34" s="76">
        <f>Bevételek!R451+Bevételek!R452</f>
        <v>0</v>
      </c>
      <c r="L34" s="76">
        <f>Bevételek!S451+Bevételek!S452</f>
        <v>1710000</v>
      </c>
      <c r="M34" s="76">
        <f>Bevételek!T451+Bevételek!T452</f>
        <v>1710000</v>
      </c>
      <c r="N34" s="76">
        <f>Bevételek!U451+Bevételek!U452</f>
        <v>0</v>
      </c>
      <c r="O34" s="76">
        <f>Bevételek!V451+Bevételek!V452</f>
        <v>0</v>
      </c>
      <c r="P34" s="76">
        <f>Bevételek!W451+Bevételek!W452+Bevételek!W455</f>
        <v>9821555</v>
      </c>
      <c r="Q34" s="76">
        <f>Bevételek!X451+Bevételek!X452+Bevételek!X455</f>
        <v>0</v>
      </c>
      <c r="R34" s="76">
        <f>Bevételek!Y451+Bevételek!Y452+Bevételek!Y455</f>
        <v>0</v>
      </c>
      <c r="S34" s="76">
        <f>Bevételek!Z451+Bevételek!Z452+Bevételek!Z455</f>
        <v>9821555</v>
      </c>
      <c r="T34" s="76">
        <f>Bevételek!AA451+Bevételek!AA452+Bevételek!AA455</f>
        <v>11531555</v>
      </c>
      <c r="U34" s="76">
        <f>Bevételek!AB451+Bevételek!AB452+Bevételek!AB455</f>
        <v>0</v>
      </c>
      <c r="V34" s="76">
        <f>Bevételek!AC451+Bevételek!AC452+Bevételek!AC455</f>
        <v>0</v>
      </c>
      <c r="W34" s="76">
        <f>Bevételek!AD451+Bevételek!AD452+Bevételek!AD455+Bevételek!AD457</f>
        <v>1000000</v>
      </c>
      <c r="X34" s="76">
        <f>Bevételek!AE451+Bevételek!AE452+Bevételek!AE455+Bevételek!AE457</f>
        <v>0</v>
      </c>
      <c r="Y34" s="76">
        <f>Bevételek!AF451+Bevételek!AF452+Bevételek!AF455+Bevételek!AF457</f>
        <v>0</v>
      </c>
      <c r="Z34" s="76">
        <f>Bevételek!AG451+Bevételek!AG452+Bevételek!AG455+Bevételek!AG457</f>
        <v>1000000</v>
      </c>
      <c r="AA34" s="76">
        <f>Bevételek!AH451+Bevételek!AH452+Bevételek!AH455+Bevételek!AH457</f>
        <v>12531555</v>
      </c>
      <c r="AB34" s="76">
        <f>Bevételek!AI451+Bevételek!AI452+Bevételek!AI455+Bevételek!AI457</f>
        <v>12531555</v>
      </c>
      <c r="AC34" s="831">
        <f t="shared" si="17"/>
        <v>100</v>
      </c>
      <c r="AD34" s="182" t="s">
        <v>12</v>
      </c>
      <c r="AE34" s="80">
        <v>5</v>
      </c>
      <c r="AF34" s="152">
        <f>Kiadások!J2236</f>
        <v>17000000</v>
      </c>
      <c r="AG34" s="152">
        <f>Kiadások!K2236</f>
        <v>0</v>
      </c>
      <c r="AH34" s="152">
        <f>Kiadások!L2236</f>
        <v>17000000</v>
      </c>
      <c r="AI34" s="152">
        <f>Kiadások!M2236</f>
        <v>14815250</v>
      </c>
      <c r="AJ34" s="152">
        <f>Kiadások!N2236</f>
        <v>0</v>
      </c>
      <c r="AK34" s="152">
        <f>Kiadások!O2236</f>
        <v>-250000</v>
      </c>
      <c r="AL34" s="152">
        <f>Kiadások!P2236</f>
        <v>0</v>
      </c>
      <c r="AM34" s="152">
        <f>Kiadások!Q2236</f>
        <v>-1350000</v>
      </c>
      <c r="AN34" s="152">
        <f>Kiadások!R2236</f>
        <v>0</v>
      </c>
      <c r="AO34" s="152">
        <f>Kiadások!S2236</f>
        <v>13215250</v>
      </c>
      <c r="AP34" s="152">
        <f>Kiadások!T2236</f>
        <v>30215250</v>
      </c>
      <c r="AQ34" s="152">
        <f>Kiadások!U2236</f>
        <v>0</v>
      </c>
      <c r="AR34" s="152">
        <f>Kiadások!V2236</f>
        <v>-10730400</v>
      </c>
      <c r="AS34" s="152">
        <f>Kiadások!W2236</f>
        <v>0</v>
      </c>
      <c r="AT34" s="152">
        <f>Kiadások!X2236</f>
        <v>-2995000</v>
      </c>
      <c r="AU34" s="152">
        <f>Kiadások!Y2236</f>
        <v>0</v>
      </c>
      <c r="AV34" s="152">
        <f>Kiadások!Z2236</f>
        <v>-13725400</v>
      </c>
      <c r="AW34" s="152">
        <f>Kiadások!AA2236</f>
        <v>16489850</v>
      </c>
      <c r="AX34" s="152">
        <f>Kiadások!AB2236</f>
        <v>0</v>
      </c>
      <c r="AY34" s="152">
        <f>Kiadások!AC2236</f>
        <v>-7000000</v>
      </c>
      <c r="AZ34" s="152">
        <f>Kiadások!AD2236</f>
        <v>0</v>
      </c>
      <c r="BA34" s="152">
        <f>Kiadások!AE2236</f>
        <v>-5272070</v>
      </c>
      <c r="BB34" s="152">
        <f>Kiadások!AF2236</f>
        <v>0</v>
      </c>
      <c r="BC34" s="152">
        <f>Kiadások!AG2236</f>
        <v>-12272070</v>
      </c>
      <c r="BD34" s="152">
        <f>Kiadások!AH2236</f>
        <v>4217780</v>
      </c>
      <c r="BE34" s="152">
        <f>Kiadások!AI2236</f>
        <v>0</v>
      </c>
      <c r="BF34" s="848">
        <f t="shared" ref="BF34" si="18">BE34/BD34*100</f>
        <v>0</v>
      </c>
    </row>
    <row r="35" spans="1:58">
      <c r="A35" s="72" t="s">
        <v>242</v>
      </c>
      <c r="B35" s="73">
        <v>2</v>
      </c>
      <c r="C35" s="81"/>
      <c r="D35" s="76">
        <f>Bevételek!K463</f>
        <v>927805</v>
      </c>
      <c r="E35" s="76">
        <f>Bevételek!L463</f>
        <v>927805</v>
      </c>
      <c r="F35" s="76">
        <f>Bevételek!M463</f>
        <v>0</v>
      </c>
      <c r="G35" s="76">
        <f>Bevételek!N463</f>
        <v>0</v>
      </c>
      <c r="H35" s="76">
        <f>Bevételek!O463</f>
        <v>0</v>
      </c>
      <c r="I35" s="76">
        <f>Bevételek!P463</f>
        <v>0</v>
      </c>
      <c r="J35" s="76">
        <f>Bevételek!Q463</f>
        <v>0</v>
      </c>
      <c r="K35" s="76">
        <f>Bevételek!R463</f>
        <v>0</v>
      </c>
      <c r="L35" s="76">
        <f>Bevételek!S463</f>
        <v>0</v>
      </c>
      <c r="M35" s="76">
        <f>Bevételek!T463</f>
        <v>927805</v>
      </c>
      <c r="N35" s="76">
        <f>Bevételek!U463</f>
        <v>0</v>
      </c>
      <c r="O35" s="76">
        <f>Bevételek!V463</f>
        <v>0</v>
      </c>
      <c r="P35" s="76">
        <f>Bevételek!W463</f>
        <v>0</v>
      </c>
      <c r="Q35" s="76">
        <f>Bevételek!X463</f>
        <v>0</v>
      </c>
      <c r="R35" s="76">
        <f>Bevételek!Y463</f>
        <v>0</v>
      </c>
      <c r="S35" s="76">
        <f>Bevételek!Z463</f>
        <v>0</v>
      </c>
      <c r="T35" s="76">
        <f>Bevételek!AA463</f>
        <v>927805</v>
      </c>
      <c r="U35" s="76">
        <f>Bevételek!AB463</f>
        <v>0</v>
      </c>
      <c r="V35" s="76">
        <f>Bevételek!AC463</f>
        <v>0</v>
      </c>
      <c r="W35" s="76">
        <f>Bevételek!AD463</f>
        <v>0</v>
      </c>
      <c r="X35" s="76">
        <f>Bevételek!AE463</f>
        <v>0</v>
      </c>
      <c r="Y35" s="76">
        <f>Bevételek!AF463</f>
        <v>0</v>
      </c>
      <c r="Z35" s="76">
        <f>Bevételek!AG463</f>
        <v>0</v>
      </c>
      <c r="AA35" s="76">
        <f>Bevételek!AH463</f>
        <v>927805</v>
      </c>
      <c r="AB35" s="76">
        <f>Bevételek!AI463</f>
        <v>927805</v>
      </c>
      <c r="AC35" s="831">
        <f t="shared" si="17"/>
        <v>100</v>
      </c>
      <c r="AD35" s="182"/>
      <c r="AE35" s="80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848"/>
    </row>
    <row r="36" spans="1:58">
      <c r="A36" s="72" t="s">
        <v>243</v>
      </c>
      <c r="B36" s="73">
        <v>2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834"/>
      <c r="AD36" s="182" t="s">
        <v>529</v>
      </c>
      <c r="AE36" s="80">
        <v>5</v>
      </c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848"/>
    </row>
    <row r="37" spans="1:58">
      <c r="A37" s="77" t="s">
        <v>349</v>
      </c>
      <c r="B37" s="78"/>
      <c r="C37" s="81">
        <f>SUM(C33:C36)</f>
        <v>26486440</v>
      </c>
      <c r="D37" s="81">
        <f t="shared" ref="D37:E37" si="19">SUM(D33:D36)</f>
        <v>927805</v>
      </c>
      <c r="E37" s="81">
        <f t="shared" si="19"/>
        <v>27414245</v>
      </c>
      <c r="F37" s="81">
        <f t="shared" ref="F37:M37" si="20">SUM(F33:F36)</f>
        <v>0</v>
      </c>
      <c r="G37" s="81">
        <f t="shared" si="20"/>
        <v>0</v>
      </c>
      <c r="H37" s="81">
        <f t="shared" si="20"/>
        <v>0</v>
      </c>
      <c r="I37" s="81">
        <f t="shared" si="20"/>
        <v>39310000</v>
      </c>
      <c r="J37" s="81">
        <f t="shared" si="20"/>
        <v>0</v>
      </c>
      <c r="K37" s="81">
        <f t="shared" si="20"/>
        <v>0</v>
      </c>
      <c r="L37" s="81">
        <f t="shared" si="20"/>
        <v>39310000</v>
      </c>
      <c r="M37" s="81">
        <f t="shared" si="20"/>
        <v>66724245</v>
      </c>
      <c r="N37" s="81">
        <f t="shared" ref="N37:T37" si="21">SUM(N33:N36)</f>
        <v>0</v>
      </c>
      <c r="O37" s="81">
        <f t="shared" si="21"/>
        <v>0</v>
      </c>
      <c r="P37" s="81">
        <f t="shared" si="21"/>
        <v>9821555</v>
      </c>
      <c r="Q37" s="81">
        <f t="shared" si="21"/>
        <v>0</v>
      </c>
      <c r="R37" s="81">
        <f t="shared" si="21"/>
        <v>0</v>
      </c>
      <c r="S37" s="81">
        <f t="shared" si="21"/>
        <v>9821555</v>
      </c>
      <c r="T37" s="81">
        <f t="shared" si="21"/>
        <v>76545800</v>
      </c>
      <c r="U37" s="81">
        <f t="shared" ref="U37:AB37" si="22">SUM(U33:U36)</f>
        <v>0</v>
      </c>
      <c r="V37" s="81">
        <f t="shared" si="22"/>
        <v>0</v>
      </c>
      <c r="W37" s="81">
        <f t="shared" si="22"/>
        <v>-6483346</v>
      </c>
      <c r="X37" s="81">
        <f t="shared" si="22"/>
        <v>0</v>
      </c>
      <c r="Y37" s="81">
        <f t="shared" si="22"/>
        <v>0</v>
      </c>
      <c r="Z37" s="81">
        <f t="shared" si="22"/>
        <v>-6483346</v>
      </c>
      <c r="AA37" s="81">
        <f t="shared" si="22"/>
        <v>70062454</v>
      </c>
      <c r="AB37" s="81">
        <f t="shared" si="22"/>
        <v>70062454</v>
      </c>
      <c r="AC37" s="844">
        <f>AB37/AA37*100</f>
        <v>100</v>
      </c>
      <c r="AD37" s="182"/>
      <c r="AE37" s="153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848"/>
    </row>
    <row r="38" spans="1:58">
      <c r="A38" s="72" t="s">
        <v>244</v>
      </c>
      <c r="B38" s="73">
        <v>6</v>
      </c>
      <c r="C38" s="76">
        <f>Bevételek!J501</f>
        <v>0</v>
      </c>
      <c r="D38" s="76"/>
      <c r="E38" s="76">
        <f>Bevételek!L501</f>
        <v>0</v>
      </c>
      <c r="F38" s="76">
        <f>Bevételek!M501</f>
        <v>0</v>
      </c>
      <c r="G38" s="76">
        <f>Bevételek!N501</f>
        <v>0</v>
      </c>
      <c r="H38" s="76">
        <f>Bevételek!O501</f>
        <v>0</v>
      </c>
      <c r="I38" s="76">
        <f>Bevételek!P501</f>
        <v>0</v>
      </c>
      <c r="J38" s="76">
        <f>Bevételek!Q501</f>
        <v>0</v>
      </c>
      <c r="K38" s="76">
        <f>Bevételek!R501</f>
        <v>0</v>
      </c>
      <c r="L38" s="76">
        <f>Bevételek!S501</f>
        <v>0</v>
      </c>
      <c r="M38" s="76">
        <f>Bevételek!T501</f>
        <v>0</v>
      </c>
      <c r="N38" s="76">
        <f>Bevételek!U501</f>
        <v>0</v>
      </c>
      <c r="O38" s="76">
        <f>Bevételek!V501</f>
        <v>0</v>
      </c>
      <c r="P38" s="76">
        <f>Bevételek!W501</f>
        <v>0</v>
      </c>
      <c r="Q38" s="76">
        <f>Bevételek!X501</f>
        <v>0</v>
      </c>
      <c r="R38" s="76">
        <f>Bevételek!Y501</f>
        <v>0</v>
      </c>
      <c r="S38" s="76">
        <f>Bevételek!Z501</f>
        <v>0</v>
      </c>
      <c r="T38" s="76">
        <f>Bevételek!AA501</f>
        <v>0</v>
      </c>
      <c r="U38" s="76">
        <f>Bevételek!AB501</f>
        <v>0</v>
      </c>
      <c r="V38" s="76">
        <f>Bevételek!AC501</f>
        <v>0</v>
      </c>
      <c r="W38" s="76">
        <f>Bevételek!AD501</f>
        <v>0</v>
      </c>
      <c r="X38" s="76">
        <f>Bevételek!AE501</f>
        <v>0</v>
      </c>
      <c r="Y38" s="76">
        <f>Bevételek!AF501</f>
        <v>0</v>
      </c>
      <c r="Z38" s="76">
        <f>Bevételek!AG501</f>
        <v>0</v>
      </c>
      <c r="AA38" s="76">
        <f>Bevételek!AH501</f>
        <v>0</v>
      </c>
      <c r="AB38" s="76">
        <f>Bevételek!AI501</f>
        <v>0</v>
      </c>
      <c r="AC38" s="844"/>
      <c r="AD38" s="182"/>
      <c r="AE38" s="153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848"/>
    </row>
    <row r="39" spans="1:58">
      <c r="A39" s="72" t="s">
        <v>245</v>
      </c>
      <c r="B39" s="73">
        <v>6</v>
      </c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>
        <f>Bevételek!W505</f>
        <v>200000</v>
      </c>
      <c r="Q39" s="76">
        <f>Bevételek!X505</f>
        <v>0</v>
      </c>
      <c r="R39" s="76">
        <f>Bevételek!Y505</f>
        <v>0</v>
      </c>
      <c r="S39" s="76">
        <f>Bevételek!Z505</f>
        <v>200000</v>
      </c>
      <c r="T39" s="76">
        <f>Bevételek!AA505</f>
        <v>200000</v>
      </c>
      <c r="U39" s="76">
        <f>Bevételek!AB505</f>
        <v>0</v>
      </c>
      <c r="V39" s="76">
        <f>Bevételek!AC505</f>
        <v>0</v>
      </c>
      <c r="W39" s="76">
        <f>Bevételek!AD505+Bevételek!AD506</f>
        <v>200000</v>
      </c>
      <c r="X39" s="76">
        <f>Bevételek!AE505+Bevételek!AE506</f>
        <v>0</v>
      </c>
      <c r="Y39" s="76">
        <f>Bevételek!AF505+Bevételek!AF506</f>
        <v>0</v>
      </c>
      <c r="Z39" s="76">
        <f>Bevételek!AG505+Bevételek!AG506</f>
        <v>200000</v>
      </c>
      <c r="AA39" s="76">
        <f>Bevételek!AH505+Bevételek!AH506</f>
        <v>400000</v>
      </c>
      <c r="AB39" s="76">
        <f>Bevételek!AI505+Bevételek!AI506</f>
        <v>400000</v>
      </c>
      <c r="AC39" s="831">
        <f t="shared" ref="AC39:AC41" si="23">AB39/AA39*100</f>
        <v>100</v>
      </c>
      <c r="AD39" s="182"/>
      <c r="AE39" s="153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848"/>
    </row>
    <row r="40" spans="1:58">
      <c r="A40" s="72" t="s">
        <v>247</v>
      </c>
      <c r="B40" s="73">
        <v>7</v>
      </c>
      <c r="C40" s="81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831"/>
      <c r="AD40" s="182"/>
      <c r="AE40" s="153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848"/>
    </row>
    <row r="41" spans="1:58">
      <c r="A41" s="72" t="s">
        <v>246</v>
      </c>
      <c r="B41" s="73">
        <v>7</v>
      </c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>
        <f>Bevételek!AD516</f>
        <v>600000</v>
      </c>
      <c r="X41" s="76">
        <f>Bevételek!AE516</f>
        <v>0</v>
      </c>
      <c r="Y41" s="76">
        <f>Bevételek!AF516</f>
        <v>0</v>
      </c>
      <c r="Z41" s="76">
        <f>Bevételek!AG516</f>
        <v>600000</v>
      </c>
      <c r="AA41" s="76">
        <f>Bevételek!AH516</f>
        <v>600000</v>
      </c>
      <c r="AB41" s="76">
        <f>Bevételek!AI516</f>
        <v>600000</v>
      </c>
      <c r="AC41" s="831">
        <f t="shared" si="23"/>
        <v>100</v>
      </c>
      <c r="AD41" s="182"/>
      <c r="AE41" s="153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848"/>
    </row>
    <row r="42" spans="1:58">
      <c r="A42" s="90" t="s">
        <v>263</v>
      </c>
      <c r="B42" s="78"/>
      <c r="C42" s="81">
        <f>SUM(C38:C41)</f>
        <v>0</v>
      </c>
      <c r="D42" s="81">
        <f>SUM(D38:D41)</f>
        <v>0</v>
      </c>
      <c r="E42" s="81">
        <f>SUM(E38:E41)</f>
        <v>0</v>
      </c>
      <c r="F42" s="81">
        <f t="shared" ref="F42:M42" si="24">SUM(F38:F41)</f>
        <v>0</v>
      </c>
      <c r="G42" s="81">
        <f t="shared" si="24"/>
        <v>0</v>
      </c>
      <c r="H42" s="81">
        <f t="shared" si="24"/>
        <v>0</v>
      </c>
      <c r="I42" s="81">
        <f t="shared" si="24"/>
        <v>0</v>
      </c>
      <c r="J42" s="81">
        <f t="shared" si="24"/>
        <v>0</v>
      </c>
      <c r="K42" s="81">
        <f t="shared" si="24"/>
        <v>0</v>
      </c>
      <c r="L42" s="81">
        <f t="shared" si="24"/>
        <v>0</v>
      </c>
      <c r="M42" s="81">
        <f t="shared" si="24"/>
        <v>0</v>
      </c>
      <c r="N42" s="81">
        <f t="shared" ref="N42:T42" si="25">SUM(N38:N41)</f>
        <v>0</v>
      </c>
      <c r="O42" s="81">
        <f t="shared" si="25"/>
        <v>0</v>
      </c>
      <c r="P42" s="81">
        <f t="shared" si="25"/>
        <v>200000</v>
      </c>
      <c r="Q42" s="81">
        <f t="shared" si="25"/>
        <v>0</v>
      </c>
      <c r="R42" s="81">
        <f t="shared" si="25"/>
        <v>0</v>
      </c>
      <c r="S42" s="81">
        <f t="shared" si="25"/>
        <v>200000</v>
      </c>
      <c r="T42" s="81">
        <f t="shared" si="25"/>
        <v>200000</v>
      </c>
      <c r="U42" s="81">
        <f t="shared" ref="U42:AB42" si="26">SUM(U38:U41)</f>
        <v>0</v>
      </c>
      <c r="V42" s="81">
        <f t="shared" si="26"/>
        <v>0</v>
      </c>
      <c r="W42" s="81">
        <f t="shared" si="26"/>
        <v>800000</v>
      </c>
      <c r="X42" s="81">
        <f t="shared" si="26"/>
        <v>0</v>
      </c>
      <c r="Y42" s="81">
        <f t="shared" si="26"/>
        <v>0</v>
      </c>
      <c r="Z42" s="81">
        <f t="shared" si="26"/>
        <v>800000</v>
      </c>
      <c r="AA42" s="81">
        <f t="shared" si="26"/>
        <v>1000000</v>
      </c>
      <c r="AB42" s="81">
        <f t="shared" si="26"/>
        <v>1000000</v>
      </c>
      <c r="AC42" s="844">
        <f t="shared" ref="AC42:AC44" si="27">AB42/AA42*100</f>
        <v>100</v>
      </c>
      <c r="AD42" s="179"/>
      <c r="AE42" s="62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848"/>
    </row>
    <row r="43" spans="1:58">
      <c r="A43" s="90" t="s">
        <v>148</v>
      </c>
      <c r="B43" s="89" t="s">
        <v>320</v>
      </c>
      <c r="C43" s="81">
        <f>Bevételek!J544</f>
        <v>0</v>
      </c>
      <c r="D43" s="81">
        <f>Bevételek!K544</f>
        <v>7500000</v>
      </c>
      <c r="E43" s="81">
        <f>Bevételek!L544</f>
        <v>7500000</v>
      </c>
      <c r="F43" s="81">
        <f>Bevételek!M544</f>
        <v>0</v>
      </c>
      <c r="G43" s="81">
        <f>Bevételek!N544</f>
        <v>0</v>
      </c>
      <c r="H43" s="81">
        <f>Bevételek!O544</f>
        <v>92000000</v>
      </c>
      <c r="I43" s="81">
        <f>Bevételek!P544</f>
        <v>0</v>
      </c>
      <c r="J43" s="81">
        <f>Bevételek!Q544</f>
        <v>0</v>
      </c>
      <c r="K43" s="81">
        <f>Bevételek!R544</f>
        <v>0</v>
      </c>
      <c r="L43" s="81">
        <f>Bevételek!S544</f>
        <v>92000000</v>
      </c>
      <c r="M43" s="81">
        <f>Bevételek!T544</f>
        <v>99500000</v>
      </c>
      <c r="N43" s="81">
        <f>Bevételek!U544</f>
        <v>0</v>
      </c>
      <c r="O43" s="81">
        <f>Bevételek!V544</f>
        <v>0</v>
      </c>
      <c r="P43" s="81">
        <f>Bevételek!W544</f>
        <v>0</v>
      </c>
      <c r="Q43" s="81">
        <f>Bevételek!X544</f>
        <v>0</v>
      </c>
      <c r="R43" s="81">
        <f>Bevételek!Y544</f>
        <v>0</v>
      </c>
      <c r="S43" s="81">
        <f>Bevételek!Z544</f>
        <v>0</v>
      </c>
      <c r="T43" s="81">
        <f>Bevételek!AA544</f>
        <v>99500000</v>
      </c>
      <c r="U43" s="81">
        <f>Bevételek!AB544</f>
        <v>0</v>
      </c>
      <c r="V43" s="81">
        <f>Bevételek!AC544</f>
        <v>0</v>
      </c>
      <c r="W43" s="81">
        <f>Bevételek!AD544</f>
        <v>0</v>
      </c>
      <c r="X43" s="81">
        <f>Bevételek!AE544</f>
        <v>0</v>
      </c>
      <c r="Y43" s="81">
        <f>Bevételek!AF544</f>
        <v>0</v>
      </c>
      <c r="Z43" s="81">
        <f>Bevételek!AG544</f>
        <v>0</v>
      </c>
      <c r="AA43" s="81">
        <f>Bevételek!AH544</f>
        <v>99500000</v>
      </c>
      <c r="AB43" s="81">
        <f>Bevételek!AI544</f>
        <v>102153718</v>
      </c>
      <c r="AC43" s="844">
        <f t="shared" si="27"/>
        <v>102.66705326633165</v>
      </c>
      <c r="AD43" s="179"/>
      <c r="AE43" s="6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848"/>
    </row>
    <row r="44" spans="1:58">
      <c r="A44" s="90" t="s">
        <v>150</v>
      </c>
      <c r="B44" s="91"/>
      <c r="C44" s="81">
        <f>C43+C42+C37+C32+C28+C18</f>
        <v>3822479414</v>
      </c>
      <c r="D44" s="81">
        <f>D43+D42+D37+D32+D28+D18</f>
        <v>21627805</v>
      </c>
      <c r="E44" s="81">
        <f>E43+E42+E37+E32+E28+E18</f>
        <v>3844107219</v>
      </c>
      <c r="F44" s="81">
        <f t="shared" ref="F44:M44" si="28">F43+F42+F37+F32+F28+F18</f>
        <v>6668105</v>
      </c>
      <c r="G44" s="81">
        <f t="shared" si="28"/>
        <v>0</v>
      </c>
      <c r="H44" s="81">
        <f t="shared" si="28"/>
        <v>92000000</v>
      </c>
      <c r="I44" s="81">
        <f t="shared" si="28"/>
        <v>39310000</v>
      </c>
      <c r="J44" s="81">
        <f t="shared" si="28"/>
        <v>0</v>
      </c>
      <c r="K44" s="81">
        <f t="shared" si="28"/>
        <v>0</v>
      </c>
      <c r="L44" s="81">
        <f t="shared" si="28"/>
        <v>137978105</v>
      </c>
      <c r="M44" s="81">
        <f t="shared" si="28"/>
        <v>3982085324</v>
      </c>
      <c r="N44" s="81">
        <f t="shared" ref="N44:T44" si="29">N43+N42+N37+N32+N28+N18</f>
        <v>0</v>
      </c>
      <c r="O44" s="81">
        <f t="shared" si="29"/>
        <v>0</v>
      </c>
      <c r="P44" s="81">
        <f t="shared" si="29"/>
        <v>10021555</v>
      </c>
      <c r="Q44" s="81">
        <f t="shared" si="29"/>
        <v>0</v>
      </c>
      <c r="R44" s="81">
        <f t="shared" si="29"/>
        <v>287350</v>
      </c>
      <c r="S44" s="81">
        <f t="shared" si="29"/>
        <v>10308905</v>
      </c>
      <c r="T44" s="81">
        <f t="shared" si="29"/>
        <v>3992394229</v>
      </c>
      <c r="U44" s="81">
        <f t="shared" ref="U44:AB44" si="30">U43+U42+U37+U32+U28+U18</f>
        <v>0</v>
      </c>
      <c r="V44" s="81">
        <f t="shared" si="30"/>
        <v>31505394</v>
      </c>
      <c r="W44" s="81">
        <f t="shared" si="30"/>
        <v>-5683346</v>
      </c>
      <c r="X44" s="81">
        <f t="shared" si="30"/>
        <v>0</v>
      </c>
      <c r="Y44" s="81">
        <f t="shared" si="30"/>
        <v>7547319</v>
      </c>
      <c r="Z44" s="81">
        <f t="shared" si="30"/>
        <v>33369367</v>
      </c>
      <c r="AA44" s="81">
        <f t="shared" si="30"/>
        <v>4025763596</v>
      </c>
      <c r="AB44" s="81">
        <f t="shared" si="30"/>
        <v>4247776259</v>
      </c>
      <c r="AC44" s="844">
        <f t="shared" si="27"/>
        <v>105.51479632884038</v>
      </c>
      <c r="AD44" s="184" t="s">
        <v>184</v>
      </c>
      <c r="AE44" s="154"/>
      <c r="AF44" s="81">
        <f>SUM(AF18:AF43)</f>
        <v>712151548</v>
      </c>
      <c r="AG44" s="81">
        <f>SUM(AG18:AG43)</f>
        <v>35718505</v>
      </c>
      <c r="AH44" s="81">
        <f>SUM(AH18:AH43)</f>
        <v>747870053</v>
      </c>
      <c r="AI44" s="81">
        <f t="shared" ref="AI44:AP44" si="31">SUM(AI18:AI43)</f>
        <v>159119574</v>
      </c>
      <c r="AJ44" s="81">
        <f t="shared" si="31"/>
        <v>0</v>
      </c>
      <c r="AK44" s="81">
        <f t="shared" si="31"/>
        <v>85264000</v>
      </c>
      <c r="AL44" s="81">
        <f t="shared" si="31"/>
        <v>39996340</v>
      </c>
      <c r="AM44" s="81">
        <f t="shared" si="31"/>
        <v>2358740</v>
      </c>
      <c r="AN44" s="81">
        <f t="shared" si="31"/>
        <v>0</v>
      </c>
      <c r="AO44" s="81">
        <f t="shared" si="31"/>
        <v>286738654</v>
      </c>
      <c r="AP44" s="81">
        <f t="shared" si="31"/>
        <v>1033429467</v>
      </c>
      <c r="AQ44" s="81">
        <f t="shared" ref="AQ44:AW44" si="32">SUM(AQ18:AQ43)</f>
        <v>0</v>
      </c>
      <c r="AR44" s="81">
        <f t="shared" si="32"/>
        <v>14000000</v>
      </c>
      <c r="AS44" s="81">
        <f t="shared" si="32"/>
        <v>9335215</v>
      </c>
      <c r="AT44" s="81">
        <f t="shared" si="32"/>
        <v>-5054277</v>
      </c>
      <c r="AU44" s="81">
        <f t="shared" si="32"/>
        <v>287350</v>
      </c>
      <c r="AV44" s="81">
        <f t="shared" si="32"/>
        <v>18568288</v>
      </c>
      <c r="AW44" s="81">
        <f t="shared" si="32"/>
        <v>1051997755</v>
      </c>
      <c r="AX44" s="81">
        <f t="shared" ref="AX44:BE44" si="33">SUM(AX18:AX43)</f>
        <v>0</v>
      </c>
      <c r="AY44" s="81">
        <f t="shared" si="33"/>
        <v>2234490</v>
      </c>
      <c r="AZ44" s="81">
        <f t="shared" si="33"/>
        <v>-5683346</v>
      </c>
      <c r="BA44" s="81">
        <f t="shared" si="33"/>
        <v>-27297459</v>
      </c>
      <c r="BB44" s="81">
        <f t="shared" si="33"/>
        <v>7547319</v>
      </c>
      <c r="BC44" s="81">
        <f t="shared" si="33"/>
        <v>-23198996</v>
      </c>
      <c r="BD44" s="81">
        <f t="shared" si="33"/>
        <v>1028798759</v>
      </c>
      <c r="BE44" s="81">
        <f t="shared" si="33"/>
        <v>717730558</v>
      </c>
      <c r="BF44" s="848">
        <f t="shared" ref="BF44" si="34">BE44/BD44*100</f>
        <v>69.763940879714852</v>
      </c>
    </row>
    <row r="45" spans="1:58">
      <c r="A45" s="72" t="s">
        <v>260</v>
      </c>
      <c r="B45" s="73">
        <v>8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834"/>
      <c r="AD45" s="179"/>
      <c r="AE45" s="62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848"/>
    </row>
    <row r="46" spans="1:58">
      <c r="A46" s="72" t="s">
        <v>149</v>
      </c>
      <c r="B46" s="73">
        <v>8</v>
      </c>
      <c r="C46" s="76">
        <f>Bevételek!J569</f>
        <v>38395523</v>
      </c>
      <c r="D46" s="76">
        <f>Bevételek!K569</f>
        <v>0</v>
      </c>
      <c r="E46" s="76">
        <f>Bevételek!L556</f>
        <v>38395523</v>
      </c>
      <c r="F46" s="76">
        <f>Bevételek!M556</f>
        <v>0</v>
      </c>
      <c r="G46" s="76">
        <f>Bevételek!N556</f>
        <v>0</v>
      </c>
      <c r="H46" s="76">
        <f>Bevételek!O556</f>
        <v>0</v>
      </c>
      <c r="I46" s="76">
        <f>Bevételek!P556</f>
        <v>0</v>
      </c>
      <c r="J46" s="76">
        <f>Bevételek!Q556</f>
        <v>0</v>
      </c>
      <c r="K46" s="76">
        <f>Bevételek!R556</f>
        <v>0</v>
      </c>
      <c r="L46" s="76">
        <f>Bevételek!S556</f>
        <v>0</v>
      </c>
      <c r="M46" s="76">
        <f>Bevételek!T556</f>
        <v>38395523</v>
      </c>
      <c r="N46" s="76">
        <f>Bevételek!U556</f>
        <v>0</v>
      </c>
      <c r="O46" s="76">
        <f>Bevételek!V556</f>
        <v>0</v>
      </c>
      <c r="P46" s="76">
        <f>Bevételek!W556</f>
        <v>0</v>
      </c>
      <c r="Q46" s="76">
        <f>Bevételek!X556</f>
        <v>0</v>
      </c>
      <c r="R46" s="76">
        <f>Bevételek!Y556</f>
        <v>0</v>
      </c>
      <c r="S46" s="76">
        <f>Bevételek!Z556</f>
        <v>0</v>
      </c>
      <c r="T46" s="76">
        <f>Bevételek!AA556</f>
        <v>38395523</v>
      </c>
      <c r="U46" s="76">
        <f>Bevételek!AB556</f>
        <v>0</v>
      </c>
      <c r="V46" s="76">
        <f>Bevételek!AC556</f>
        <v>0</v>
      </c>
      <c r="W46" s="76">
        <f>Bevételek!AD556</f>
        <v>0</v>
      </c>
      <c r="X46" s="76">
        <f>Bevételek!AE556</f>
        <v>0</v>
      </c>
      <c r="Y46" s="76">
        <f>Bevételek!AF556</f>
        <v>0</v>
      </c>
      <c r="Z46" s="76">
        <f>Bevételek!AG556</f>
        <v>0</v>
      </c>
      <c r="AA46" s="76">
        <f>Bevételek!AH556</f>
        <v>38395523</v>
      </c>
      <c r="AB46" s="76">
        <f>Bevételek!AI556</f>
        <v>38395523</v>
      </c>
      <c r="AC46" s="831">
        <f t="shared" ref="AC46:AC47" si="35">AB46/AA46*100</f>
        <v>100</v>
      </c>
      <c r="AD46" s="182" t="s">
        <v>371</v>
      </c>
      <c r="AE46" s="80">
        <v>9</v>
      </c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50"/>
    </row>
    <row r="47" spans="1:58">
      <c r="A47" s="72" t="s">
        <v>594</v>
      </c>
      <c r="B47" s="73"/>
      <c r="C47" s="76"/>
      <c r="D47" s="76"/>
      <c r="E47" s="76"/>
      <c r="F47" s="76">
        <f>Bevételek!M558</f>
        <v>151272229</v>
      </c>
      <c r="G47" s="76">
        <f>Bevételek!N558</f>
        <v>0</v>
      </c>
      <c r="H47" s="76">
        <f>Bevételek!O558</f>
        <v>0</v>
      </c>
      <c r="I47" s="76">
        <f>Bevételek!P558</f>
        <v>0</v>
      </c>
      <c r="J47" s="76">
        <f>Bevételek!Q558</f>
        <v>0</v>
      </c>
      <c r="K47" s="76">
        <f>Bevételek!R558</f>
        <v>0</v>
      </c>
      <c r="L47" s="76">
        <f>Bevételek!S558</f>
        <v>151272229</v>
      </c>
      <c r="M47" s="76">
        <f>Bevételek!T558</f>
        <v>151272229</v>
      </c>
      <c r="N47" s="76">
        <f>Bevételek!U558</f>
        <v>0</v>
      </c>
      <c r="O47" s="76">
        <f>Bevételek!V558</f>
        <v>0</v>
      </c>
      <c r="P47" s="76">
        <f>Bevételek!W558</f>
        <v>0</v>
      </c>
      <c r="Q47" s="76">
        <f>Bevételek!X558</f>
        <v>0</v>
      </c>
      <c r="R47" s="76">
        <f>Bevételek!Y558</f>
        <v>0</v>
      </c>
      <c r="S47" s="76">
        <f>Bevételek!Z558</f>
        <v>0</v>
      </c>
      <c r="T47" s="76">
        <f>Bevételek!AA558</f>
        <v>151272229</v>
      </c>
      <c r="U47" s="76">
        <f>Bevételek!AB558</f>
        <v>0</v>
      </c>
      <c r="V47" s="76">
        <f>Bevételek!AC558</f>
        <v>0</v>
      </c>
      <c r="W47" s="76">
        <f>Bevételek!AD558</f>
        <v>0</v>
      </c>
      <c r="X47" s="76">
        <f>Bevételek!AE558</f>
        <v>0</v>
      </c>
      <c r="Y47" s="76">
        <f>Bevételek!AF558</f>
        <v>0</v>
      </c>
      <c r="Z47" s="76">
        <f>Bevételek!AG558</f>
        <v>0</v>
      </c>
      <c r="AA47" s="76">
        <f>Bevételek!AH558</f>
        <v>151272229</v>
      </c>
      <c r="AB47" s="76">
        <f>Bevételek!AI558</f>
        <v>151272229</v>
      </c>
      <c r="AC47" s="831">
        <f t="shared" si="35"/>
        <v>100</v>
      </c>
      <c r="AD47" s="182"/>
      <c r="AE47" s="80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50"/>
    </row>
    <row r="48" spans="1:58">
      <c r="A48" s="72" t="s">
        <v>380</v>
      </c>
      <c r="B48" s="73">
        <v>8</v>
      </c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834"/>
      <c r="AD48" s="182" t="s">
        <v>381</v>
      </c>
      <c r="AE48" s="80">
        <v>9</v>
      </c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50"/>
    </row>
    <row r="49" spans="1:58" ht="13.5" thickBot="1">
      <c r="A49" s="190" t="s">
        <v>6</v>
      </c>
      <c r="B49" s="191">
        <v>8</v>
      </c>
      <c r="C49" s="201"/>
      <c r="D49" s="201"/>
      <c r="E49" s="201">
        <f>SUM(E45:E48)</f>
        <v>38395523</v>
      </c>
      <c r="F49" s="201">
        <f t="shared" ref="F49:M49" si="36">SUM(F45:F48)</f>
        <v>151272229</v>
      </c>
      <c r="G49" s="201">
        <f t="shared" si="36"/>
        <v>0</v>
      </c>
      <c r="H49" s="201">
        <f t="shared" si="36"/>
        <v>0</v>
      </c>
      <c r="I49" s="201">
        <f t="shared" si="36"/>
        <v>0</v>
      </c>
      <c r="J49" s="201">
        <f t="shared" si="36"/>
        <v>0</v>
      </c>
      <c r="K49" s="201">
        <f t="shared" si="36"/>
        <v>0</v>
      </c>
      <c r="L49" s="201">
        <f t="shared" si="36"/>
        <v>151272229</v>
      </c>
      <c r="M49" s="201">
        <f t="shared" si="36"/>
        <v>189667752</v>
      </c>
      <c r="N49" s="201">
        <f t="shared" ref="N49:T49" si="37">SUM(N45:N48)</f>
        <v>0</v>
      </c>
      <c r="O49" s="201">
        <f t="shared" si="37"/>
        <v>0</v>
      </c>
      <c r="P49" s="201">
        <f t="shared" si="37"/>
        <v>0</v>
      </c>
      <c r="Q49" s="201">
        <f t="shared" si="37"/>
        <v>0</v>
      </c>
      <c r="R49" s="201">
        <f t="shared" si="37"/>
        <v>0</v>
      </c>
      <c r="S49" s="201">
        <f t="shared" si="37"/>
        <v>0</v>
      </c>
      <c r="T49" s="201">
        <f t="shared" si="37"/>
        <v>189667752</v>
      </c>
      <c r="U49" s="201">
        <f t="shared" ref="U49:AB49" si="38">SUM(U45:U48)</f>
        <v>0</v>
      </c>
      <c r="V49" s="201">
        <f t="shared" si="38"/>
        <v>0</v>
      </c>
      <c r="W49" s="201">
        <f t="shared" si="38"/>
        <v>0</v>
      </c>
      <c r="X49" s="201">
        <f t="shared" si="38"/>
        <v>0</v>
      </c>
      <c r="Y49" s="201">
        <f t="shared" si="38"/>
        <v>0</v>
      </c>
      <c r="Z49" s="201">
        <f t="shared" si="38"/>
        <v>0</v>
      </c>
      <c r="AA49" s="201">
        <f t="shared" si="38"/>
        <v>189667752</v>
      </c>
      <c r="AB49" s="201">
        <f t="shared" si="38"/>
        <v>189667752</v>
      </c>
      <c r="AC49" s="846">
        <f t="shared" ref="AC49" si="39">AB49/AA49*100</f>
        <v>100</v>
      </c>
      <c r="AD49" s="185" t="s">
        <v>7</v>
      </c>
      <c r="AE49" s="234"/>
      <c r="AF49" s="235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1"/>
      <c r="AS49" s="201"/>
      <c r="AT49" s="201"/>
      <c r="AU49" s="201"/>
      <c r="AV49" s="201"/>
      <c r="AW49" s="201"/>
      <c r="AX49" s="201"/>
      <c r="AY49" s="201"/>
      <c r="AZ49" s="201"/>
      <c r="BA49" s="201"/>
      <c r="BB49" s="201"/>
      <c r="BC49" s="201"/>
      <c r="BD49" s="201"/>
      <c r="BE49" s="201"/>
      <c r="BF49" s="851"/>
    </row>
    <row r="50" spans="1:58" ht="13.5" thickBot="1">
      <c r="A50" s="198" t="s">
        <v>24</v>
      </c>
      <c r="B50" s="199"/>
      <c r="C50" s="200">
        <f>SUM(C44:C49)</f>
        <v>3860874937</v>
      </c>
      <c r="D50" s="200">
        <f>SUM(D44:D49)</f>
        <v>21627805</v>
      </c>
      <c r="E50" s="200">
        <f>E49+E44</f>
        <v>3882502742</v>
      </c>
      <c r="F50" s="200">
        <f t="shared" ref="F50:M50" si="40">F49+F44</f>
        <v>157940334</v>
      </c>
      <c r="G50" s="200">
        <f t="shared" si="40"/>
        <v>0</v>
      </c>
      <c r="H50" s="200">
        <f t="shared" si="40"/>
        <v>92000000</v>
      </c>
      <c r="I50" s="200">
        <f t="shared" si="40"/>
        <v>39310000</v>
      </c>
      <c r="J50" s="200">
        <f t="shared" si="40"/>
        <v>0</v>
      </c>
      <c r="K50" s="200">
        <f t="shared" si="40"/>
        <v>0</v>
      </c>
      <c r="L50" s="200">
        <f t="shared" si="40"/>
        <v>289250334</v>
      </c>
      <c r="M50" s="200">
        <f t="shared" si="40"/>
        <v>4171753076</v>
      </c>
      <c r="N50" s="200">
        <f t="shared" ref="N50:T50" si="41">N49+N44</f>
        <v>0</v>
      </c>
      <c r="O50" s="200">
        <f t="shared" si="41"/>
        <v>0</v>
      </c>
      <c r="P50" s="200">
        <f t="shared" si="41"/>
        <v>10021555</v>
      </c>
      <c r="Q50" s="200">
        <f t="shared" si="41"/>
        <v>0</v>
      </c>
      <c r="R50" s="200">
        <f t="shared" si="41"/>
        <v>287350</v>
      </c>
      <c r="S50" s="200">
        <f t="shared" si="41"/>
        <v>10308905</v>
      </c>
      <c r="T50" s="200">
        <f t="shared" si="41"/>
        <v>4182061981</v>
      </c>
      <c r="U50" s="200">
        <f t="shared" ref="U50:AB50" si="42">U49+U44</f>
        <v>0</v>
      </c>
      <c r="V50" s="200">
        <f t="shared" si="42"/>
        <v>31505394</v>
      </c>
      <c r="W50" s="200">
        <f t="shared" si="42"/>
        <v>-5683346</v>
      </c>
      <c r="X50" s="200">
        <f t="shared" si="42"/>
        <v>0</v>
      </c>
      <c r="Y50" s="200">
        <f t="shared" si="42"/>
        <v>7547319</v>
      </c>
      <c r="Z50" s="200">
        <f t="shared" si="42"/>
        <v>33369367</v>
      </c>
      <c r="AA50" s="200">
        <f t="shared" si="42"/>
        <v>4215431348</v>
      </c>
      <c r="AB50" s="200">
        <f t="shared" si="42"/>
        <v>4437444011</v>
      </c>
      <c r="AC50" s="822">
        <f>AB50/AA50*100</f>
        <v>105.26666536997058</v>
      </c>
      <c r="AD50" s="233" t="s">
        <v>60</v>
      </c>
      <c r="AE50" s="233"/>
      <c r="AF50" s="232">
        <f>AF49+AF44</f>
        <v>712151548</v>
      </c>
      <c r="AG50" s="232">
        <f>SUM(AG44:AG46)</f>
        <v>35718505</v>
      </c>
      <c r="AH50" s="232">
        <f>SUM(AH44:AH46)</f>
        <v>747870053</v>
      </c>
      <c r="AI50" s="232">
        <f t="shared" ref="AI50:AP50" si="43">SUM(AI44:AI46)</f>
        <v>159119574</v>
      </c>
      <c r="AJ50" s="232">
        <f t="shared" si="43"/>
        <v>0</v>
      </c>
      <c r="AK50" s="232">
        <f t="shared" si="43"/>
        <v>85264000</v>
      </c>
      <c r="AL50" s="232">
        <f t="shared" si="43"/>
        <v>39996340</v>
      </c>
      <c r="AM50" s="232">
        <f t="shared" si="43"/>
        <v>2358740</v>
      </c>
      <c r="AN50" s="232">
        <f t="shared" si="43"/>
        <v>0</v>
      </c>
      <c r="AO50" s="232">
        <f t="shared" si="43"/>
        <v>286738654</v>
      </c>
      <c r="AP50" s="232">
        <f t="shared" si="43"/>
        <v>1033429467</v>
      </c>
      <c r="AQ50" s="232">
        <f t="shared" ref="AQ50:AW50" si="44">SUM(AQ44:AQ46)</f>
        <v>0</v>
      </c>
      <c r="AR50" s="232">
        <f t="shared" si="44"/>
        <v>14000000</v>
      </c>
      <c r="AS50" s="232">
        <f t="shared" si="44"/>
        <v>9335215</v>
      </c>
      <c r="AT50" s="232">
        <f t="shared" si="44"/>
        <v>-5054277</v>
      </c>
      <c r="AU50" s="232">
        <f t="shared" si="44"/>
        <v>287350</v>
      </c>
      <c r="AV50" s="232">
        <f t="shared" si="44"/>
        <v>18568288</v>
      </c>
      <c r="AW50" s="232">
        <f t="shared" si="44"/>
        <v>1051997755</v>
      </c>
      <c r="AX50" s="232">
        <f t="shared" ref="AX50:BE50" si="45">SUM(AX44:AX46)</f>
        <v>0</v>
      </c>
      <c r="AY50" s="232">
        <f t="shared" si="45"/>
        <v>2234490</v>
      </c>
      <c r="AZ50" s="232">
        <f t="shared" si="45"/>
        <v>-5683346</v>
      </c>
      <c r="BA50" s="232">
        <f t="shared" si="45"/>
        <v>-27297459</v>
      </c>
      <c r="BB50" s="232">
        <f t="shared" si="45"/>
        <v>7547319</v>
      </c>
      <c r="BC50" s="232">
        <f t="shared" si="45"/>
        <v>-23198996</v>
      </c>
      <c r="BD50" s="232">
        <f t="shared" si="45"/>
        <v>1028798759</v>
      </c>
      <c r="BE50" s="232">
        <f t="shared" si="45"/>
        <v>717730558</v>
      </c>
      <c r="BF50" s="843">
        <f>BE50/BD50*100</f>
        <v>69.763940879714852</v>
      </c>
    </row>
    <row r="54" spans="1:58" ht="20.25" customHeight="1">
      <c r="A54" s="1"/>
      <c r="B54" s="1"/>
    </row>
    <row r="57" spans="1:58" s="17" customFormat="1" ht="18" customHeight="1">
      <c r="A57" s="3"/>
      <c r="B57" s="3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238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238"/>
    </row>
    <row r="59" spans="1:58" ht="15.75" customHeight="1"/>
    <row r="60" spans="1:58" ht="9" customHeight="1"/>
    <row r="61" spans="1:58" ht="18" customHeight="1"/>
  </sheetData>
  <mergeCells count="24">
    <mergeCell ref="AX6:BC6"/>
    <mergeCell ref="BD6:BD7"/>
    <mergeCell ref="BE6:BE7"/>
    <mergeCell ref="BF6:BF7"/>
    <mergeCell ref="AD5:BF5"/>
    <mergeCell ref="AQ6:AV6"/>
    <mergeCell ref="AW6:AW7"/>
    <mergeCell ref="AI6:AO6"/>
    <mergeCell ref="AP6:AP7"/>
    <mergeCell ref="AH6:AH7"/>
    <mergeCell ref="AE6:AE7"/>
    <mergeCell ref="AD6:AD7"/>
    <mergeCell ref="U6:Z6"/>
    <mergeCell ref="AA6:AA7"/>
    <mergeCell ref="AB6:AB7"/>
    <mergeCell ref="AC6:AC7"/>
    <mergeCell ref="A5:AC5"/>
    <mergeCell ref="T6:T7"/>
    <mergeCell ref="N6:S6"/>
    <mergeCell ref="F6:L6"/>
    <mergeCell ref="M6:M7"/>
    <mergeCell ref="E6:E7"/>
    <mergeCell ref="B6:B7"/>
    <mergeCell ref="A6:A7"/>
  </mergeCells>
  <printOptions horizontalCentered="1"/>
  <pageMargins left="0.31496062992125984" right="0.31496062992125984" top="0.35433070866141736" bottom="0.27559055118110237" header="0.23622047244094491" footer="0.23622047244094491"/>
  <pageSetup paperSize="9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Bevételek</vt:lpstr>
      <vt:lpstr>Kiadások</vt:lpstr>
      <vt:lpstr>Mérleg</vt:lpstr>
      <vt:lpstr>a</vt:lpstr>
      <vt:lpstr>b</vt:lpstr>
      <vt:lpstr>c</vt:lpstr>
      <vt:lpstr>Munka1</vt:lpstr>
      <vt:lpstr>Bevételek!Nyomtatási_cím</vt:lpstr>
      <vt:lpstr>Kiadások!Nyomtatási_cím</vt:lpstr>
      <vt:lpstr>a!Nyomtatási_terület</vt:lpstr>
      <vt:lpstr>Bevételek!Nyomtatási_terület</vt:lpstr>
      <vt:lpstr>Kiadások!Nyomtatási_terület</vt:lpstr>
      <vt:lpstr>Mérleg!Nyomtatási_terület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Zay Ferenc</dc:creator>
  <cp:lastModifiedBy>Kormos Viktória</cp:lastModifiedBy>
  <cp:lastPrinted>2019-05-06T09:39:29Z</cp:lastPrinted>
  <dcterms:created xsi:type="dcterms:W3CDTF">1997-01-09T08:22:06Z</dcterms:created>
  <dcterms:modified xsi:type="dcterms:W3CDTF">2019-05-07T13:38:35Z</dcterms:modified>
</cp:coreProperties>
</file>